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Administrador\Desktop\Microsoft\Planilha do ROmulo\"/>
    </mc:Choice>
  </mc:AlternateContent>
  <bookViews>
    <workbookView xWindow="0" yWindow="0" windowWidth="16170" windowHeight="11070" firstSheet="5" activeTab="5"/>
  </bookViews>
  <sheets>
    <sheet name="Descr&amp;Quant" sheetId="12" state="hidden" r:id="rId1"/>
    <sheet name="Catálogo SGD" sheetId="8" state="hidden" r:id="rId2"/>
    <sheet name="Mapa Comparativo (2)" sheetId="18" state="hidden" r:id="rId3"/>
    <sheet name="Mapa Comparativo" sheetId="6" state="hidden" r:id="rId4"/>
    <sheet name="Quadro-resumo licenças" sheetId="20" state="hidden" r:id="rId5"/>
    <sheet name="PMC-TIC x Preços Públicos" sheetId="35" r:id="rId6"/>
    <sheet name="PMC-TIC x Fornecedores" sheetId="34" r:id="rId7"/>
    <sheet name="Quadro-resumo IRP SGD" sheetId="22" state="hidden" r:id="rId8"/>
    <sheet name="Quadro-resumo - LOTE 1" sheetId="24" state="hidden" r:id="rId9"/>
    <sheet name="Quadro-resumo - LOTE 2" sheetId="31" state="hidden" r:id="rId10"/>
    <sheet name="Quadro-resumo - LOTE 1 (2)" sheetId="26" state="hidden" r:id="rId11"/>
    <sheet name="Quadro-resumo - LOTE 2 (2)" sheetId="32" state="hidden" r:id="rId12"/>
    <sheet name="Custo TT Estim." sheetId="13" state="hidden" r:id="rId13"/>
  </sheets>
  <calcPr calcId="162913"/>
</workbook>
</file>

<file path=xl/calcChain.xml><?xml version="1.0" encoding="utf-8"?>
<calcChain xmlns="http://schemas.openxmlformats.org/spreadsheetml/2006/main">
  <c r="O3" i="35" l="1"/>
  <c r="P3" i="35" s="1"/>
  <c r="O4" i="35"/>
  <c r="O5" i="35"/>
  <c r="O6" i="35"/>
  <c r="O7" i="35"/>
  <c r="O8" i="35"/>
  <c r="O9" i="35"/>
  <c r="P9" i="35" s="1"/>
  <c r="O10" i="35"/>
  <c r="O11" i="35"/>
  <c r="O12" i="35"/>
  <c r="O13" i="35"/>
  <c r="O2" i="35"/>
  <c r="K7" i="35"/>
  <c r="O3" i="34"/>
  <c r="O4" i="34"/>
  <c r="O5" i="34"/>
  <c r="O6" i="34"/>
  <c r="O7" i="34"/>
  <c r="O8" i="34"/>
  <c r="O9" i="34"/>
  <c r="O10" i="34"/>
  <c r="O11" i="34"/>
  <c r="O12" i="34"/>
  <c r="O13" i="34"/>
  <c r="O2" i="34"/>
  <c r="M3" i="34"/>
  <c r="M4" i="34"/>
  <c r="M5" i="34"/>
  <c r="M6" i="34"/>
  <c r="M7" i="34"/>
  <c r="M8" i="34"/>
  <c r="M9" i="34"/>
  <c r="M10" i="34"/>
  <c r="M11" i="34"/>
  <c r="M12" i="34"/>
  <c r="M13" i="34"/>
  <c r="M2" i="34"/>
  <c r="J13" i="35"/>
  <c r="K13" i="35" s="1"/>
  <c r="J12" i="35"/>
  <c r="K12" i="35" s="1"/>
  <c r="J11" i="35"/>
  <c r="K11" i="35" s="1"/>
  <c r="J10" i="35"/>
  <c r="K10" i="35" s="1"/>
  <c r="J9" i="35"/>
  <c r="K9" i="35" s="1"/>
  <c r="J8" i="35"/>
  <c r="K8" i="35" s="1"/>
  <c r="J7" i="35"/>
  <c r="J6" i="35"/>
  <c r="K6" i="35" s="1"/>
  <c r="J5" i="35"/>
  <c r="K5" i="35" s="1"/>
  <c r="J4" i="35"/>
  <c r="K4" i="35" s="1"/>
  <c r="J3" i="35"/>
  <c r="K3" i="35" s="1"/>
  <c r="B3" i="35"/>
  <c r="B4" i="35" s="1"/>
  <c r="B5" i="35" s="1"/>
  <c r="B6" i="35" s="1"/>
  <c r="B7" i="35" s="1"/>
  <c r="B8" i="35" s="1"/>
  <c r="B9" i="35" s="1"/>
  <c r="B10" i="35" s="1"/>
  <c r="B11" i="35" s="1"/>
  <c r="B12" i="35" s="1"/>
  <c r="J2" i="35"/>
  <c r="K2" i="35" s="1"/>
  <c r="P8" i="35" l="1"/>
  <c r="P5" i="35"/>
  <c r="P11" i="35"/>
  <c r="O14" i="34"/>
  <c r="K14" i="35"/>
  <c r="P7" i="35"/>
  <c r="P12" i="35"/>
  <c r="P6" i="35"/>
  <c r="P2" i="35"/>
  <c r="P13" i="35"/>
  <c r="P4" i="35"/>
  <c r="P10" i="35"/>
  <c r="O14" i="35"/>
  <c r="P14" i="35" s="1"/>
  <c r="Q12" i="34"/>
  <c r="J3" i="34"/>
  <c r="K3" i="34" s="1"/>
  <c r="Q3" i="34" s="1"/>
  <c r="J4" i="34"/>
  <c r="K4" i="34" s="1"/>
  <c r="Q4" i="34" s="1"/>
  <c r="J5" i="34"/>
  <c r="K5" i="34" s="1"/>
  <c r="Q5" i="34" s="1"/>
  <c r="J6" i="34"/>
  <c r="K6" i="34" s="1"/>
  <c r="Q6" i="34" s="1"/>
  <c r="J7" i="34"/>
  <c r="K7" i="34" s="1"/>
  <c r="Q7" i="34" s="1"/>
  <c r="J8" i="34"/>
  <c r="K8" i="34" s="1"/>
  <c r="Q8" i="34" s="1"/>
  <c r="J9" i="34"/>
  <c r="K9" i="34" s="1"/>
  <c r="Q9" i="34" s="1"/>
  <c r="J10" i="34"/>
  <c r="K10" i="34" s="1"/>
  <c r="Q10" i="34" s="1"/>
  <c r="J11" i="34"/>
  <c r="K11" i="34" s="1"/>
  <c r="Q11" i="34" s="1"/>
  <c r="J12" i="34"/>
  <c r="K12" i="34" s="1"/>
  <c r="J13" i="34"/>
  <c r="K13" i="34" s="1"/>
  <c r="Q13" i="34" s="1"/>
  <c r="J2" i="34"/>
  <c r="K2" i="34" s="1"/>
  <c r="Q2" i="34" s="1"/>
  <c r="K14" i="34" l="1"/>
  <c r="Q14" i="34" s="1"/>
  <c r="K19" i="31"/>
  <c r="B3" i="34"/>
  <c r="B4" i="34" s="1"/>
  <c r="B5" i="34" s="1"/>
  <c r="B6" i="34" s="1"/>
  <c r="B7" i="34" s="1"/>
  <c r="B8" i="34" s="1"/>
  <c r="B9" i="34" s="1"/>
  <c r="B10" i="34" s="1"/>
  <c r="B11" i="34" s="1"/>
  <c r="B12" i="34" s="1"/>
  <c r="D25" i="6" l="1"/>
  <c r="B26" i="6"/>
  <c r="G12" i="32"/>
  <c r="G11" i="32"/>
  <c r="G10" i="32"/>
  <c r="G9" i="32"/>
  <c r="G8" i="32"/>
  <c r="G7" i="32"/>
  <c r="G6" i="32"/>
  <c r="G5" i="32"/>
  <c r="G4" i="32"/>
  <c r="K18" i="31"/>
  <c r="J18" i="31"/>
  <c r="H18" i="31"/>
  <c r="H17" i="31"/>
  <c r="K16" i="31"/>
  <c r="J16" i="31"/>
  <c r="H16" i="31"/>
  <c r="K15" i="31"/>
  <c r="J15" i="31"/>
  <c r="H15" i="31"/>
  <c r="K14" i="31"/>
  <c r="J14" i="31"/>
  <c r="H14" i="31"/>
  <c r="K13" i="31"/>
  <c r="J13" i="31"/>
  <c r="H13" i="31"/>
  <c r="K12" i="31"/>
  <c r="J12" i="31"/>
  <c r="H12" i="31"/>
  <c r="K11" i="31"/>
  <c r="J11" i="31"/>
  <c r="H11" i="31"/>
  <c r="K10" i="31"/>
  <c r="J10" i="31"/>
  <c r="H10" i="31"/>
  <c r="G5" i="26"/>
  <c r="G4" i="26"/>
  <c r="G3" i="26"/>
  <c r="J11" i="24"/>
  <c r="K11" i="24"/>
  <c r="J12" i="24"/>
  <c r="K12" i="24"/>
  <c r="J13" i="24"/>
  <c r="K13" i="24"/>
  <c r="K14" i="24"/>
  <c r="H13" i="24"/>
  <c r="H12" i="24"/>
  <c r="H11" i="24"/>
  <c r="I18" i="20"/>
  <c r="I17" i="20"/>
  <c r="I16" i="20"/>
  <c r="I15" i="20"/>
  <c r="K13" i="20"/>
  <c r="S27" i="6"/>
  <c r="R27" i="6"/>
  <c r="Q27" i="6"/>
  <c r="P27" i="6"/>
  <c r="O27" i="6"/>
  <c r="N26" i="6"/>
  <c r="M26" i="6"/>
  <c r="L26" i="6"/>
  <c r="K26" i="6"/>
  <c r="J26" i="6"/>
  <c r="I26" i="6"/>
  <c r="H26" i="6"/>
  <c r="I20" i="20"/>
  <c r="I21" i="20"/>
  <c r="I19" i="20"/>
  <c r="E26" i="6"/>
  <c r="S26" i="6" s="1"/>
  <c r="D26" i="6"/>
  <c r="B25" i="6"/>
  <c r="B26" i="8"/>
  <c r="A26" i="6"/>
  <c r="A25" i="6"/>
  <c r="I26" i="8"/>
  <c r="K26" i="8" s="1"/>
  <c r="G26" i="8"/>
  <c r="E26" i="8"/>
  <c r="C26" i="8"/>
  <c r="I25" i="8"/>
  <c r="K25" i="8" s="1"/>
  <c r="G25" i="8"/>
  <c r="E25" i="8"/>
  <c r="C25" i="8"/>
  <c r="B25" i="8"/>
  <c r="P26" i="6"/>
  <c r="P25" i="6"/>
  <c r="E25" i="6"/>
  <c r="S25" i="6" s="1"/>
  <c r="I11" i="20"/>
  <c r="I12" i="20"/>
  <c r="I13" i="20"/>
  <c r="I14" i="20"/>
  <c r="I10" i="20"/>
  <c r="I11" i="22"/>
  <c r="J11" i="22" s="1"/>
  <c r="I10" i="22"/>
  <c r="J10" i="22" s="1"/>
  <c r="P24" i="6"/>
  <c r="O13" i="6"/>
  <c r="P13" i="6" s="1"/>
  <c r="O17" i="6"/>
  <c r="P17" i="6" s="1"/>
  <c r="P19" i="6"/>
  <c r="P21" i="6"/>
  <c r="P22" i="6"/>
  <c r="I21" i="8"/>
  <c r="I21" i="6" s="1"/>
  <c r="I22" i="8"/>
  <c r="K22" i="8" s="1"/>
  <c r="G22" i="8"/>
  <c r="G21" i="8"/>
  <c r="I18" i="8"/>
  <c r="H18" i="6" s="1"/>
  <c r="I19" i="8"/>
  <c r="H19" i="6" s="1"/>
  <c r="I17" i="8"/>
  <c r="I17" i="6" s="1"/>
  <c r="E21" i="8"/>
  <c r="E22" i="8"/>
  <c r="E18" i="8"/>
  <c r="E19" i="8"/>
  <c r="G19" i="8"/>
  <c r="G18" i="8"/>
  <c r="C21" i="8"/>
  <c r="C22" i="8"/>
  <c r="C18" i="8"/>
  <c r="C19" i="8"/>
  <c r="B21" i="8"/>
  <c r="B22" i="8"/>
  <c r="B18" i="8"/>
  <c r="B19" i="8"/>
  <c r="A21" i="8"/>
  <c r="A22" i="8"/>
  <c r="A18" i="8"/>
  <c r="A19" i="8"/>
  <c r="D22" i="6"/>
  <c r="D21" i="6"/>
  <c r="D19" i="6"/>
  <c r="D18" i="6"/>
  <c r="E21" i="6"/>
  <c r="E22" i="6"/>
  <c r="E18" i="6"/>
  <c r="E19" i="6"/>
  <c r="J19" i="6" s="1"/>
  <c r="K19" i="6" s="1"/>
  <c r="B17" i="6"/>
  <c r="B18" i="6"/>
  <c r="B19" i="6"/>
  <c r="B20" i="6"/>
  <c r="B21" i="6"/>
  <c r="B22" i="6"/>
  <c r="A18" i="6"/>
  <c r="A19" i="6"/>
  <c r="A20" i="6"/>
  <c r="A21" i="6"/>
  <c r="A22" i="6"/>
  <c r="B14" i="6"/>
  <c r="I24" i="8"/>
  <c r="I24" i="6" s="1"/>
  <c r="G24" i="8"/>
  <c r="E24" i="8"/>
  <c r="C24" i="8"/>
  <c r="B24" i="8"/>
  <c r="E24" i="6"/>
  <c r="R24" i="6" s="1"/>
  <c r="E12" i="6"/>
  <c r="A24" i="6"/>
  <c r="D24" i="6"/>
  <c r="B24" i="6"/>
  <c r="E13" i="6"/>
  <c r="E14" i="6"/>
  <c r="E15" i="6"/>
  <c r="E16" i="6"/>
  <c r="E17" i="6"/>
  <c r="E20" i="6"/>
  <c r="E23" i="6"/>
  <c r="J12" i="8"/>
  <c r="J13" i="8"/>
  <c r="J14" i="8"/>
  <c r="O14" i="6" s="1"/>
  <c r="P14" i="6" s="1"/>
  <c r="J15" i="8"/>
  <c r="O15" i="6" s="1"/>
  <c r="J16" i="8"/>
  <c r="O16" i="6" s="1"/>
  <c r="J17" i="8"/>
  <c r="J20" i="8"/>
  <c r="O20" i="6" s="1"/>
  <c r="J23" i="8"/>
  <c r="O23" i="6" s="1"/>
  <c r="J14" i="24" l="1"/>
  <c r="J25" i="6"/>
  <c r="H25" i="6"/>
  <c r="H27" i="6" s="1"/>
  <c r="I25" i="6"/>
  <c r="I27" i="6" s="1"/>
  <c r="J22" i="6"/>
  <c r="N22" i="6" s="1"/>
  <c r="K17" i="8"/>
  <c r="H22" i="6"/>
  <c r="I22" i="6"/>
  <c r="K19" i="8"/>
  <c r="K21" i="8"/>
  <c r="J18" i="6"/>
  <c r="K18" i="6" s="1"/>
  <c r="I19" i="6"/>
  <c r="J21" i="6"/>
  <c r="K21" i="6" s="1"/>
  <c r="H21" i="6"/>
  <c r="K24" i="8"/>
  <c r="I18" i="6"/>
  <c r="J17" i="6"/>
  <c r="L17" i="6" s="1"/>
  <c r="K18" i="8"/>
  <c r="Q26" i="6"/>
  <c r="R26" i="6"/>
  <c r="Q25" i="6"/>
  <c r="R25" i="6"/>
  <c r="M21" i="6"/>
  <c r="K16" i="20" s="1"/>
  <c r="S23" i="6"/>
  <c r="M19" i="6"/>
  <c r="Q21" i="6"/>
  <c r="Q16" i="6"/>
  <c r="M22" i="6"/>
  <c r="S19" i="6"/>
  <c r="K17" i="6"/>
  <c r="Q22" i="6"/>
  <c r="R18" i="6"/>
  <c r="S16" i="6"/>
  <c r="R14" i="6"/>
  <c r="S15" i="6"/>
  <c r="S21" i="6"/>
  <c r="R23" i="6"/>
  <c r="R13" i="6"/>
  <c r="R22" i="6"/>
  <c r="Q20" i="6"/>
  <c r="R21" i="6"/>
  <c r="S22" i="6"/>
  <c r="Q19" i="6"/>
  <c r="P16" i="6"/>
  <c r="R19" i="6"/>
  <c r="Q17" i="6"/>
  <c r="R17" i="6"/>
  <c r="R16" i="6"/>
  <c r="S17" i="6"/>
  <c r="Q13" i="6"/>
  <c r="R15" i="6"/>
  <c r="S13" i="6"/>
  <c r="Q24" i="6"/>
  <c r="S14" i="6"/>
  <c r="R20" i="6"/>
  <c r="S24" i="6"/>
  <c r="Q14" i="6"/>
  <c r="S20" i="6"/>
  <c r="Q18" i="6"/>
  <c r="P23" i="6"/>
  <c r="P15" i="6"/>
  <c r="S18" i="6"/>
  <c r="Q23" i="6"/>
  <c r="Q15" i="6"/>
  <c r="P20" i="6"/>
  <c r="P18" i="6"/>
  <c r="L18" i="6"/>
  <c r="N18" i="6"/>
  <c r="L15" i="20" s="1"/>
  <c r="N21" i="6"/>
  <c r="L16" i="20" s="1"/>
  <c r="L21" i="6"/>
  <c r="L19" i="6"/>
  <c r="N19" i="6"/>
  <c r="L17" i="20" s="1"/>
  <c r="J24" i="6"/>
  <c r="M24" i="6" s="1"/>
  <c r="K19" i="20" s="1"/>
  <c r="L22" i="6"/>
  <c r="N17" i="6"/>
  <c r="H24" i="6"/>
  <c r="O12" i="6"/>
  <c r="M25" i="6" l="1"/>
  <c r="J27" i="6"/>
  <c r="K25" i="6"/>
  <c r="K27" i="6" s="1"/>
  <c r="N25" i="6"/>
  <c r="L25" i="6"/>
  <c r="L27" i="6" s="1"/>
  <c r="M18" i="6"/>
  <c r="K15" i="20" s="1"/>
  <c r="K22" i="6"/>
  <c r="M17" i="6"/>
  <c r="L21" i="20"/>
  <c r="K21" i="20"/>
  <c r="K20" i="20"/>
  <c r="K17" i="20"/>
  <c r="K24" i="6"/>
  <c r="P12" i="6"/>
  <c r="S12" i="6"/>
  <c r="Q12" i="6"/>
  <c r="R12" i="6"/>
  <c r="L24" i="6"/>
  <c r="N24" i="6"/>
  <c r="L19" i="20" s="1"/>
  <c r="P20" i="18"/>
  <c r="H20" i="18"/>
  <c r="D20" i="18"/>
  <c r="C20" i="18"/>
  <c r="B20" i="18"/>
  <c r="A20" i="18"/>
  <c r="P19" i="18"/>
  <c r="H19" i="18"/>
  <c r="E19" i="18"/>
  <c r="D19" i="18"/>
  <c r="C19" i="18"/>
  <c r="B19" i="18"/>
  <c r="A19" i="18"/>
  <c r="P18" i="18"/>
  <c r="H18" i="18"/>
  <c r="D18" i="18"/>
  <c r="C18" i="18"/>
  <c r="B18" i="18"/>
  <c r="A18" i="18"/>
  <c r="P17" i="18"/>
  <c r="H17" i="18"/>
  <c r="D17" i="18"/>
  <c r="C17" i="18"/>
  <c r="B17" i="18"/>
  <c r="A17" i="18"/>
  <c r="P16" i="18"/>
  <c r="H16" i="18"/>
  <c r="E16" i="18"/>
  <c r="D16" i="18"/>
  <c r="C16" i="18"/>
  <c r="B16" i="18"/>
  <c r="A16" i="18"/>
  <c r="P15" i="18"/>
  <c r="H15" i="18"/>
  <c r="D15" i="18"/>
  <c r="C15" i="18"/>
  <c r="B15" i="18"/>
  <c r="A15" i="18"/>
  <c r="P14" i="18"/>
  <c r="H14" i="18"/>
  <c r="D14" i="18"/>
  <c r="C14" i="18"/>
  <c r="B14" i="18"/>
  <c r="A14" i="18"/>
  <c r="P13" i="18"/>
  <c r="P21" i="18" s="1"/>
  <c r="H13" i="18"/>
  <c r="D13" i="18"/>
  <c r="C13" i="18"/>
  <c r="B13" i="18"/>
  <c r="A13" i="18"/>
  <c r="D11" i="18"/>
  <c r="K23" i="20" l="1"/>
  <c r="K22" i="20"/>
  <c r="K17" i="31"/>
  <c r="N27" i="6"/>
  <c r="L20" i="20"/>
  <c r="M27" i="6"/>
  <c r="J17" i="31"/>
  <c r="E13" i="8"/>
  <c r="E14" i="8"/>
  <c r="E15" i="8"/>
  <c r="E16" i="8"/>
  <c r="E17" i="8"/>
  <c r="E20" i="8"/>
  <c r="E23" i="8"/>
  <c r="E12" i="8"/>
  <c r="L22" i="20" l="1"/>
  <c r="L23" i="20"/>
  <c r="J19" i="31"/>
  <c r="E10" i="13"/>
  <c r="E11" i="13"/>
  <c r="E12" i="13"/>
  <c r="E13" i="13"/>
  <c r="E14" i="13"/>
  <c r="E15" i="13"/>
  <c r="E16" i="13"/>
  <c r="E9" i="13"/>
  <c r="D16" i="13"/>
  <c r="C16" i="13"/>
  <c r="B16" i="13"/>
  <c r="A16" i="13"/>
  <c r="D8" i="13"/>
  <c r="D15" i="13"/>
  <c r="C15" i="13"/>
  <c r="B15" i="13"/>
  <c r="A15" i="13"/>
  <c r="D14" i="13"/>
  <c r="C14" i="13"/>
  <c r="B14" i="13"/>
  <c r="A14" i="13"/>
  <c r="D13" i="13"/>
  <c r="C13" i="13"/>
  <c r="B13" i="13"/>
  <c r="A13" i="13"/>
  <c r="D12" i="13"/>
  <c r="C12" i="13"/>
  <c r="B12" i="13"/>
  <c r="A12" i="13"/>
  <c r="D11" i="13"/>
  <c r="C11" i="13"/>
  <c r="B11" i="13"/>
  <c r="A11" i="13"/>
  <c r="D10" i="13"/>
  <c r="C10" i="13"/>
  <c r="B10" i="13"/>
  <c r="A10" i="13"/>
  <c r="D9" i="13"/>
  <c r="C9" i="13"/>
  <c r="B9" i="13"/>
  <c r="A9" i="13"/>
  <c r="F20" i="18" l="1"/>
  <c r="F13" i="18"/>
  <c r="F14" i="18"/>
  <c r="F16" i="18"/>
  <c r="F17" i="18"/>
  <c r="F15" i="18"/>
  <c r="F19" i="18"/>
  <c r="N19" i="18" s="1"/>
  <c r="O19" i="18" s="1"/>
  <c r="D23" i="6" l="1"/>
  <c r="D20" i="6"/>
  <c r="D17" i="6"/>
  <c r="D16" i="6"/>
  <c r="D15" i="6"/>
  <c r="D14" i="6"/>
  <c r="D13" i="6"/>
  <c r="D12" i="6"/>
  <c r="I23" i="8" l="1"/>
  <c r="I20" i="8"/>
  <c r="I16" i="8"/>
  <c r="I15" i="8"/>
  <c r="I14" i="8"/>
  <c r="I13" i="8"/>
  <c r="I12" i="8"/>
  <c r="G13" i="8"/>
  <c r="G14" i="8"/>
  <c r="G15" i="8"/>
  <c r="G16" i="8"/>
  <c r="G17" i="8"/>
  <c r="G20" i="8"/>
  <c r="G23" i="8"/>
  <c r="G12" i="8"/>
  <c r="K20" i="8" l="1"/>
  <c r="I20" i="6"/>
  <c r="J20" i="6"/>
  <c r="I23" i="6"/>
  <c r="K23" i="8"/>
  <c r="J23" i="6"/>
  <c r="K12" i="8"/>
  <c r="I12" i="6"/>
  <c r="J12" i="6"/>
  <c r="I13" i="6"/>
  <c r="K13" i="8"/>
  <c r="J13" i="6"/>
  <c r="I14" i="6"/>
  <c r="K14" i="8"/>
  <c r="J14" i="6"/>
  <c r="I15" i="6"/>
  <c r="K15" i="8"/>
  <c r="J15" i="6"/>
  <c r="K16" i="8"/>
  <c r="I16" i="6"/>
  <c r="J16" i="6"/>
  <c r="H12" i="6"/>
  <c r="H14" i="6"/>
  <c r="H16" i="6"/>
  <c r="H17" i="6"/>
  <c r="H13" i="6"/>
  <c r="H15" i="6"/>
  <c r="H20" i="6"/>
  <c r="H23" i="6"/>
  <c r="G14" i="18"/>
  <c r="G15" i="18"/>
  <c r="G16" i="18"/>
  <c r="G17" i="18"/>
  <c r="G18" i="18"/>
  <c r="G13" i="18"/>
  <c r="G19" i="18"/>
  <c r="G20" i="18"/>
  <c r="I16" i="18"/>
  <c r="J16" i="18"/>
  <c r="N16" i="18"/>
  <c r="O16" i="18" s="1"/>
  <c r="J19" i="18"/>
  <c r="I19" i="18"/>
  <c r="F12" i="13"/>
  <c r="G12" i="13" s="1"/>
  <c r="H12" i="13" s="1"/>
  <c r="E10" i="6"/>
  <c r="B13" i="6"/>
  <c r="B15" i="6"/>
  <c r="B16" i="6"/>
  <c r="B23" i="6"/>
  <c r="B12" i="6"/>
  <c r="A13" i="6"/>
  <c r="A14" i="6"/>
  <c r="A15" i="6"/>
  <c r="A16" i="6"/>
  <c r="A17" i="6"/>
  <c r="A23" i="6"/>
  <c r="A12" i="6"/>
  <c r="F13" i="8"/>
  <c r="F14" i="8"/>
  <c r="F15" i="8"/>
  <c r="F16" i="8"/>
  <c r="F17" i="8"/>
  <c r="F20" i="8"/>
  <c r="F23" i="8"/>
  <c r="F12" i="8"/>
  <c r="B13" i="8"/>
  <c r="B14" i="8"/>
  <c r="B15" i="8"/>
  <c r="B16" i="8"/>
  <c r="B17" i="8"/>
  <c r="B20" i="8"/>
  <c r="B23" i="8"/>
  <c r="B12" i="8"/>
  <c r="C13" i="8"/>
  <c r="C14" i="8"/>
  <c r="C15" i="8"/>
  <c r="C16" i="8"/>
  <c r="C17" i="8"/>
  <c r="C20" i="8"/>
  <c r="C23" i="8"/>
  <c r="C12" i="8"/>
  <c r="A13" i="8"/>
  <c r="A14" i="8"/>
  <c r="A15" i="8"/>
  <c r="A16" i="8"/>
  <c r="A17" i="8"/>
  <c r="A20" i="8"/>
  <c r="A23" i="8"/>
  <c r="A12" i="8"/>
  <c r="K14" i="6" l="1"/>
  <c r="L14" i="6"/>
  <c r="M14" i="6"/>
  <c r="K12" i="20" s="1"/>
  <c r="N14" i="6"/>
  <c r="L12" i="20" s="1"/>
  <c r="K23" i="6"/>
  <c r="L23" i="6"/>
  <c r="M23" i="6"/>
  <c r="K18" i="20" s="1"/>
  <c r="N23" i="6"/>
  <c r="L18" i="20" s="1"/>
  <c r="K15" i="6"/>
  <c r="M15" i="6"/>
  <c r="N15" i="6"/>
  <c r="L13" i="20" s="1"/>
  <c r="L15" i="6"/>
  <c r="L12" i="6"/>
  <c r="N12" i="6"/>
  <c r="L10" i="20" s="1"/>
  <c r="K12" i="6"/>
  <c r="M12" i="6"/>
  <c r="K16" i="6"/>
  <c r="M16" i="6"/>
  <c r="K14" i="20" s="1"/>
  <c r="L16" i="6"/>
  <c r="N16" i="6"/>
  <c r="L14" i="20" s="1"/>
  <c r="K13" i="6"/>
  <c r="L13" i="6"/>
  <c r="N13" i="6"/>
  <c r="L11" i="20" s="1"/>
  <c r="M13" i="6"/>
  <c r="K11" i="20" s="1"/>
  <c r="K20" i="6"/>
  <c r="M20" i="6"/>
  <c r="L20" i="6"/>
  <c r="N20" i="6"/>
  <c r="E20" i="18"/>
  <c r="E18" i="18"/>
  <c r="E17" i="18"/>
  <c r="E15" i="18"/>
  <c r="E14" i="18"/>
  <c r="E13" i="18"/>
  <c r="L19" i="18"/>
  <c r="M19" i="18"/>
  <c r="K19" i="18"/>
  <c r="L16" i="18"/>
  <c r="K16" i="18"/>
  <c r="M16" i="18"/>
  <c r="F16" i="13"/>
  <c r="G16" i="13" s="1"/>
  <c r="H16" i="13" s="1"/>
  <c r="F11" i="13"/>
  <c r="G11" i="13" s="1"/>
  <c r="H11" i="13" s="1"/>
  <c r="F14" i="13"/>
  <c r="G14" i="13" s="1"/>
  <c r="H14" i="13" s="1"/>
  <c r="F15" i="13"/>
  <c r="G15" i="13" s="1"/>
  <c r="H15" i="13" s="1"/>
  <c r="F13" i="13"/>
  <c r="G13" i="13" s="1"/>
  <c r="H13" i="13" s="1"/>
  <c r="K10" i="20" l="1"/>
  <c r="J20" i="18"/>
  <c r="I20" i="18"/>
  <c r="N20" i="18"/>
  <c r="O20" i="18" s="1"/>
  <c r="N18" i="18"/>
  <c r="O18" i="18" s="1"/>
  <c r="J18" i="18"/>
  <c r="I18" i="18"/>
  <c r="N17" i="18"/>
  <c r="O17" i="18" s="1"/>
  <c r="J17" i="18"/>
  <c r="I17" i="18"/>
  <c r="N15" i="18"/>
  <c r="O15" i="18" s="1"/>
  <c r="J15" i="18"/>
  <c r="I15" i="18"/>
  <c r="N14" i="18"/>
  <c r="O14" i="18" s="1"/>
  <c r="I14" i="18"/>
  <c r="J14" i="18"/>
  <c r="N13" i="18"/>
  <c r="O13" i="18" s="1"/>
  <c r="J13" i="18"/>
  <c r="I13" i="18"/>
  <c r="F10" i="13"/>
  <c r="C29" i="6" l="1"/>
  <c r="K14" i="18"/>
  <c r="K17" i="18"/>
  <c r="K18" i="18"/>
  <c r="K20" i="18"/>
  <c r="M20" i="18"/>
  <c r="L20" i="18"/>
  <c r="L18" i="18"/>
  <c r="M18" i="18"/>
  <c r="L17" i="18"/>
  <c r="M17" i="18"/>
  <c r="L15" i="18"/>
  <c r="M15" i="18"/>
  <c r="O21" i="18"/>
  <c r="K15" i="18"/>
  <c r="M14" i="18"/>
  <c r="L14" i="18"/>
  <c r="L13" i="18"/>
  <c r="M13" i="18"/>
  <c r="K13" i="18"/>
  <c r="G10" i="13"/>
  <c r="H10" i="13" l="1"/>
  <c r="F9" i="13" l="1"/>
  <c r="G9" i="13" l="1"/>
  <c r="F17" i="13"/>
  <c r="G18" i="13" l="1"/>
  <c r="H9" i="13"/>
  <c r="H19" i="13" s="1"/>
</calcChain>
</file>

<file path=xl/sharedStrings.xml><?xml version="1.0" encoding="utf-8"?>
<sst xmlns="http://schemas.openxmlformats.org/spreadsheetml/2006/main" count="701" uniqueCount="219">
  <si>
    <t>AGÊNCIA NACIONAL DE MINERAÇÃO</t>
  </si>
  <si>
    <t>OBJETO:</t>
  </si>
  <si>
    <t>Pregão para contratação de subscrição de licenças Microsoft.</t>
  </si>
  <si>
    <t>Item</t>
  </si>
  <si>
    <t>Descrição do serviço</t>
  </si>
  <si>
    <t>CATSER</t>
  </si>
  <si>
    <t>SKU</t>
  </si>
  <si>
    <t>Idt. Catálogo SGD</t>
  </si>
  <si>
    <t>Categoria</t>
  </si>
  <si>
    <t>Nome Comercial</t>
  </si>
  <si>
    <t>Métrica catálogo</t>
  </si>
  <si>
    <t>Quant. Subsc.</t>
  </si>
  <si>
    <t>Quant. meses / ano (ANM)</t>
  </si>
  <si>
    <t>CISSteStdCore ALNG LicSAPk MVL 2Lic CoreLic</t>
  </si>
  <si>
    <t>9GA-00006</t>
  </si>
  <si>
    <t>MS.3.0-A0637</t>
  </si>
  <si>
    <t>Sist. Op. servidor</t>
  </si>
  <si>
    <t>CIS Standard Core (Windows Server + System Center)</t>
  </si>
  <si>
    <t>Anual</t>
  </si>
  <si>
    <t>CISSteDCCore ALNG LicSAPk MVL 2Lic CoreLic</t>
  </si>
  <si>
    <t>9GS-00495</t>
  </si>
  <si>
    <t>MS.3.0-A0755</t>
  </si>
  <si>
    <t>CIS Datacenter Core (Windows Server + System Center)</t>
  </si>
  <si>
    <t>Project Plan3 Shared All Lng Subs VL MVL Per User</t>
  </si>
  <si>
    <t>7LS-00002</t>
  </si>
  <si>
    <t>MS.3.0-A0478</t>
  </si>
  <si>
    <t>Portfólios e Projetos</t>
  </si>
  <si>
    <t>Microsoft Project Plano 3</t>
  </si>
  <si>
    <t>Mês</t>
  </si>
  <si>
    <t>VSEntSubMSDN ALNG LicSAPk MVL</t>
  </si>
  <si>
    <t>MX3-00115</t>
  </si>
  <si>
    <t>MS.3.0-A1473</t>
  </si>
  <si>
    <t>Visual Studio Enterprise MSDN</t>
  </si>
  <si>
    <t>VisioPlan2 ShrdSvr ALNG SubsVL MVL PerUsr</t>
  </si>
  <si>
    <t>N9U-00002</t>
  </si>
  <si>
    <t>MS.3.0-A1497</t>
  </si>
  <si>
    <t>Visio Plan 2</t>
  </si>
  <si>
    <t>M365 E3 ShrdSvr ALNG SubsVL MVL PerUsr (Original)</t>
  </si>
  <si>
    <t>AAA-10756</t>
  </si>
  <si>
    <t>MS.3.0-A0859</t>
  </si>
  <si>
    <t>Colaboração e produtividade</t>
  </si>
  <si>
    <t>Microsoft 365 E3 Full USL Original</t>
  </si>
  <si>
    <t>M365 E5 ShrdSvr ALNG SubsVL MVL PerUsr (Original)</t>
  </si>
  <si>
    <t>AAA-28605</t>
  </si>
  <si>
    <t>MS.3.0-A0915</t>
  </si>
  <si>
    <t>Microsoft 365 E5 Full USL Original</t>
  </si>
  <si>
    <t>SQLSvrEntCore ALNG LicSAPk MVL 2Lic CoreLic</t>
  </si>
  <si>
    <t>7JQ-00341</t>
  </si>
  <si>
    <t>MS.3.0-A0459</t>
  </si>
  <si>
    <t>Plataforma de Dados</t>
  </si>
  <si>
    <t>SQL Server Enterprise Core</t>
  </si>
  <si>
    <t>Power BI Premium USL SubVL Per User</t>
  </si>
  <si>
    <t xml:space="preserve">68B-00008 </t>
  </si>
  <si>
    <t>MS.3.0-A0284</t>
  </si>
  <si>
    <r>
      <rPr>
        <b/>
        <sz val="13"/>
        <color rgb="FF0000FF"/>
        <rFont val="Calibri"/>
        <family val="2"/>
        <scheme val="minor"/>
      </rPr>
      <t>Parâmetro</t>
    </r>
    <r>
      <rPr>
        <b/>
        <sz val="13"/>
        <color theme="1"/>
        <rFont val="Calibri"/>
        <family val="2"/>
        <scheme val="minor"/>
      </rPr>
      <t>: Catálogo de Soluções de TIC com condições padronizadas - MICROSOFT</t>
    </r>
    <r>
      <rPr>
        <sz val="13"/>
        <color theme="1"/>
        <rFont val="Calibri"/>
        <family val="2"/>
        <scheme val="minor"/>
      </rPr>
      <t xml:space="preserve"> (ver anexo)</t>
    </r>
  </si>
  <si>
    <t>DESCRIÇÃO</t>
  </si>
  <si>
    <r>
      <t>Métrica (</t>
    </r>
    <r>
      <rPr>
        <sz val="13"/>
        <color theme="1"/>
        <rFont val="Calibri"/>
        <family val="2"/>
        <scheme val="minor"/>
      </rPr>
      <t>Catálogo SGD</t>
    </r>
    <r>
      <rPr>
        <b/>
        <sz val="13"/>
        <color theme="1"/>
        <rFont val="Calibri"/>
        <family val="2"/>
        <scheme val="minor"/>
      </rPr>
      <t>)</t>
    </r>
  </si>
  <si>
    <r>
      <t>PMC-TIC  (</t>
    </r>
    <r>
      <rPr>
        <sz val="13"/>
        <color theme="1"/>
        <rFont val="Calibri"/>
        <family val="2"/>
        <scheme val="minor"/>
      </rPr>
      <t>Catálogo SGD</t>
    </r>
    <r>
      <rPr>
        <b/>
        <sz val="13"/>
        <color theme="1"/>
        <rFont val="Calibri"/>
        <family val="2"/>
        <scheme val="minor"/>
      </rPr>
      <t>)
(R$)</t>
    </r>
  </si>
  <si>
    <r>
      <t>Valor Unit. MENSAL
(</t>
    </r>
    <r>
      <rPr>
        <sz val="13"/>
        <color theme="1"/>
        <rFont val="Calibri"/>
        <family val="2"/>
        <scheme val="minor"/>
      </rPr>
      <t>Catálogo SGD</t>
    </r>
    <r>
      <rPr>
        <b/>
        <sz val="13"/>
        <color theme="1"/>
        <rFont val="Calibri"/>
        <family val="2"/>
        <scheme val="minor"/>
      </rPr>
      <t>)
(R$)</t>
    </r>
  </si>
  <si>
    <r>
      <t>Valor Unit. MENSAL (</t>
    </r>
    <r>
      <rPr>
        <sz val="12"/>
        <color theme="1"/>
        <rFont val="Calibri"/>
        <family val="2"/>
        <scheme val="minor"/>
      </rPr>
      <t>BRASOFTWARE</t>
    </r>
    <r>
      <rPr>
        <b/>
        <sz val="12"/>
        <color theme="1"/>
        <rFont val="Calibri"/>
        <family val="2"/>
        <scheme val="minor"/>
      </rPr>
      <t>) (R$)</t>
    </r>
  </si>
  <si>
    <r>
      <t>Valor Unit. SEMESTRAL
(</t>
    </r>
    <r>
      <rPr>
        <sz val="12"/>
        <color theme="1"/>
        <rFont val="Calibri"/>
        <family val="2"/>
        <scheme val="minor"/>
      </rPr>
      <t>Catálogo SGD</t>
    </r>
    <r>
      <rPr>
        <b/>
        <sz val="12"/>
        <color theme="1"/>
        <rFont val="Calibri"/>
        <family val="2"/>
        <scheme val="minor"/>
      </rPr>
      <t>) (R$)</t>
    </r>
  </si>
  <si>
    <r>
      <t>Valor Unit. SEMESTRAL (</t>
    </r>
    <r>
      <rPr>
        <sz val="12"/>
        <color theme="1"/>
        <rFont val="Calibri"/>
        <family val="2"/>
        <scheme val="minor"/>
      </rPr>
      <t>BRASOFTWARE</t>
    </r>
    <r>
      <rPr>
        <b/>
        <sz val="12"/>
        <color theme="1"/>
        <rFont val="Calibri"/>
        <family val="2"/>
        <scheme val="minor"/>
      </rPr>
      <t>) (R$)</t>
    </r>
  </si>
  <si>
    <t>Observações:</t>
  </si>
  <si>
    <r>
      <t xml:space="preserve">I - Os preços obtidos do catálogo SGD PMC-TIC se referem ao modelo de licenciamento </t>
    </r>
    <r>
      <rPr>
        <b/>
        <sz val="12"/>
        <color theme="1"/>
        <rFont val="Calibri"/>
        <family val="2"/>
        <scheme val="minor"/>
      </rPr>
      <t>SUBSCRIÇÃO</t>
    </r>
    <r>
      <rPr>
        <sz val="12"/>
        <color theme="1"/>
        <rFont val="Calibri"/>
        <family val="2"/>
        <scheme val="minor"/>
      </rPr>
      <t xml:space="preserve"> conforme número de identificação constante do quadro acima.</t>
    </r>
  </si>
  <si>
    <t>II - Preços contratados pela ANM junto à Empresa BRASOFTWARE, CNPJ: 57.142.978/0001-05, signatária do Contrato ANM nº 10/2022, vigente por 180 dias a partir de 17 de maio de 2022.</t>
  </si>
  <si>
    <r>
      <t>III - IN SEGES/ME nº 73/2021, Art. 8º "</t>
    </r>
    <r>
      <rPr>
        <i/>
        <sz val="11"/>
        <color theme="1"/>
        <rFont val="Calibri"/>
        <family val="2"/>
        <scheme val="minor"/>
      </rPr>
      <t>As estimativas de preços de itens constantes nos Catálogos de Soluções de TIC com Condições Padronizadas, publicados pela Secretaria de Governo Digital da Secretaria Especial de Desburocratização, Gestão e Governo Digital, deverão utilizar como parâmetro máximo o Preço Máximo de Compra de Item de TIC - PMC-TIC, salvo se a pesquisa de preços realizada resultar em valor inferior ao PMC-TIC</t>
    </r>
    <r>
      <rPr>
        <sz val="11"/>
        <color theme="1"/>
        <rFont val="Calibri"/>
        <family val="2"/>
        <scheme val="minor"/>
      </rPr>
      <t>."</t>
    </r>
  </si>
  <si>
    <t>IV - Catálogo de Soluções de TIC com condições padronizadas (Microsoft), disponível no endereço: https://www.gov.br/governodigital/pt-br/contratacoes/catalogo-de-produtos-e-servicos-microsoft-atualizado-3-termo-aditivo.pdf, acessado em 08/06/2022.</t>
  </si>
  <si>
    <t>MAPA COMPARATIVO DE PREÇOS - CONTRATO ANM, CATÁLOGO, PESQUISA DE PREÇOS x PROPOSTA BRASOFTWARE</t>
  </si>
  <si>
    <t>Contratação emergencial de empresa especializada no fornecimento de licenças de software para colaboração e produtividade, aplicativos de negócio, plataforma de desenvolvimento e ambiente de trabalho seguro, destinados aos usuários, equipamentos e servidores de rede da Agência Nacional de Mineração (ANM) na modalidade subscrição, mediante dispensa de licitação com fundamento no Art. 24, Inciso XIII, da Lei nº 8.666, de 1993.</t>
  </si>
  <si>
    <t>PLANILHA RESUMO - Preço Estimado de Referência apurado pela Administração</t>
  </si>
  <si>
    <r>
      <t>Preço médio por fonte de consulta (</t>
    </r>
    <r>
      <rPr>
        <sz val="13"/>
        <color theme="0"/>
        <rFont val="Calibri"/>
        <family val="2"/>
        <scheme val="minor"/>
      </rPr>
      <t>mensal</t>
    </r>
    <r>
      <rPr>
        <b/>
        <sz val="13"/>
        <color theme="0"/>
        <rFont val="Calibri"/>
        <family val="2"/>
        <scheme val="minor"/>
      </rPr>
      <t>)</t>
    </r>
  </si>
  <si>
    <r>
      <t xml:space="preserve">Preço Médio MENSAL - </t>
    </r>
    <r>
      <rPr>
        <sz val="12"/>
        <color theme="1"/>
        <rFont val="Calibri"/>
        <family val="2"/>
        <scheme val="minor"/>
      </rPr>
      <t>todas as fontes</t>
    </r>
    <r>
      <rPr>
        <b/>
        <sz val="12"/>
        <color theme="1"/>
        <rFont val="Calibri"/>
        <family val="2"/>
        <scheme val="minor"/>
      </rPr>
      <t xml:space="preserve"> (A)</t>
    </r>
  </si>
  <si>
    <t>Desvio Padrão (B)</t>
  </si>
  <si>
    <t>Coefiente de Variação CV
C=(B)/(A)*100</t>
  </si>
  <si>
    <t>Limite Inferior LI
D=(A)-(B)</t>
  </si>
  <si>
    <t>Limite Superior LS
E=(A)+(B)</t>
  </si>
  <si>
    <t>Média Saneada (valores entre LI e LS)</t>
  </si>
  <si>
    <r>
      <t>Preço UNITÁRIO/MÊS Estimado (</t>
    </r>
    <r>
      <rPr>
        <sz val="12"/>
        <color rgb="FF0000FF"/>
        <rFont val="Calibri"/>
        <family val="2"/>
        <scheme val="minor"/>
      </rPr>
      <t>todas as fontes</t>
    </r>
    <r>
      <rPr>
        <b/>
        <sz val="12"/>
        <color rgb="FF0000FF"/>
        <rFont val="Calibri"/>
        <family val="2"/>
        <scheme val="minor"/>
      </rPr>
      <t>)</t>
    </r>
    <r>
      <rPr>
        <sz val="12"/>
        <color rgb="FF0000FF"/>
        <rFont val="Calibri"/>
        <family val="2"/>
        <scheme val="minor"/>
      </rPr>
      <t xml:space="preserve"> </t>
    </r>
    <r>
      <rPr>
        <b/>
        <sz val="12"/>
        <color rgb="FF0000FF"/>
        <rFont val="Calibri"/>
        <family val="2"/>
        <scheme val="minor"/>
      </rPr>
      <t>(R$)</t>
    </r>
  </si>
  <si>
    <t>Valor UNIT. Proposta Emerg. BRASOFTWARE p/ ANM (R$)</t>
  </si>
  <si>
    <t>Painel de Preços</t>
  </si>
  <si>
    <t>Outros Entes</t>
  </si>
  <si>
    <t>Catálogo SGD</t>
  </si>
  <si>
    <r>
      <t>Contrato ANM (</t>
    </r>
    <r>
      <rPr>
        <sz val="12"/>
        <color theme="1"/>
        <rFont val="Calibri"/>
        <family val="2"/>
        <scheme val="minor"/>
      </rPr>
      <t>vig. 21/03/22</t>
    </r>
    <r>
      <rPr>
        <b/>
        <sz val="12"/>
        <color theme="1"/>
        <rFont val="Calibri"/>
        <family val="2"/>
        <scheme val="minor"/>
      </rPr>
      <t>)</t>
    </r>
  </si>
  <si>
    <t>CUSTO UNITÁRIO MÁXIMO ESTIMADO MENSAL DA CONTRATAÇÃO ------&gt;&gt;&gt;</t>
  </si>
  <si>
    <r>
      <t>I - Valores na cor vermelha e tachados (</t>
    </r>
    <r>
      <rPr>
        <strike/>
        <sz val="12"/>
        <color rgb="FFFF0000"/>
        <rFont val="Calibri"/>
        <family val="2"/>
        <scheme val="minor"/>
      </rPr>
      <t>0000,00</t>
    </r>
    <r>
      <rPr>
        <sz val="12"/>
        <color theme="1"/>
        <rFont val="Calibri"/>
        <family val="2"/>
        <scheme val="minor"/>
      </rPr>
      <t>) não foram considerados para fins da apuração da média saneada por estarem fora dos Limites Inferior (LI) e Superior (LS) e, portanto, discrepantes em relação aos demais.</t>
    </r>
  </si>
  <si>
    <t>II - A Média Saneada consiste, primeiro, em apurar o Desvio-Padrão, somar à Média Aritmética Simples para obter o Limite Superior (LS) e subtraído à média, encontrando o Limite Inferior (LI). De acordo com a doutrina matemática, quanto menor o CV, mais homogênea a amostra. Em geral, um coeficiente de variação menor que 25% indica razoável homogeneidade da amostra.</t>
  </si>
  <si>
    <t>III - Proposta de preços apresentada pela Empresa BRASOFTWARE, CNPJ: 57.142.978/0001-05, signatária do Contrato ANM nº 15/2019, cuja não aprovação da prorrogação de sua vigência fundamenta a pretendida contratação emergencial.</t>
  </si>
  <si>
    <t>IV - Da comparação dos valores atualizados do Contrato ANM nº 15/2019 com aqueles constantes da proposta apresentada pela empresa BRASOFTWARE, contactada para prestar os serviços emergencialmente, verifica-se que são compatíveis entre si, sendo uma alternativa economicamente viável a ser considerada até que se conclua a nova licitação para o mesmo objeto.</t>
  </si>
  <si>
    <r>
      <rPr>
        <b/>
        <sz val="13"/>
        <color rgb="FF0000FF"/>
        <rFont val="Calibri"/>
        <family val="2"/>
        <scheme val="minor"/>
      </rPr>
      <t>Projeção de quantitativos para contratação</t>
    </r>
    <r>
      <rPr>
        <b/>
        <sz val="13"/>
        <color theme="1"/>
        <rFont val="Calibri"/>
        <family val="2"/>
        <scheme val="minor"/>
      </rPr>
      <t xml:space="preserve"> - CATÁLOGO PADRONIZADO DE PREÇOS x CONTRATO EMERGENCIAL BRASOFTWARE</t>
    </r>
  </si>
  <si>
    <t>Descrição do produto no Catálogo de TIC</t>
  </si>
  <si>
    <t>Descrição comercial do produto</t>
  </si>
  <si>
    <t>Quant. Atual</t>
  </si>
  <si>
    <t>Quant. Proposta</t>
  </si>
  <si>
    <t>Pesquisa Catálogo SGD</t>
  </si>
  <si>
    <t>Catálogo SGD 1 mês (R$) / licença</t>
  </si>
  <si>
    <t>Catálogo SGD 12 meses (R$) / licença</t>
  </si>
  <si>
    <r>
      <t xml:space="preserve">Catálogo SGD 12m / todas as licenças </t>
    </r>
    <r>
      <rPr>
        <b/>
        <u/>
        <sz val="12"/>
        <color theme="1"/>
        <rFont val="Calibri"/>
        <family val="2"/>
        <scheme val="minor"/>
      </rPr>
      <t>atuais</t>
    </r>
  </si>
  <si>
    <r>
      <t xml:space="preserve">Catálogo SGD 12m / todas as licenças </t>
    </r>
    <r>
      <rPr>
        <b/>
        <u/>
        <sz val="12"/>
        <color theme="1"/>
        <rFont val="Calibri"/>
        <family val="2"/>
        <scheme val="minor"/>
      </rPr>
      <t>propostas</t>
    </r>
  </si>
  <si>
    <t xml:space="preserve"> BRASOFTWARE 1 mês (R$) / licença</t>
  </si>
  <si>
    <t>BRASOFTWARE 6 meses (R$) / licença</t>
  </si>
  <si>
    <t>BRASOFTWARE 6 meses (R$) / todas as licenças atuais</t>
  </si>
  <si>
    <t>Microsoft Core Infrastructure Server Suite Standard</t>
  </si>
  <si>
    <t>Microsoft Core Infrastructure Server Suite Datacenter</t>
  </si>
  <si>
    <t>Microsoft Visual Studio Enterprise com MSDN</t>
  </si>
  <si>
    <t>Microsoft Visio Online Plano 2</t>
  </si>
  <si>
    <t>Microsoft 365 Plano E5</t>
  </si>
  <si>
    <t>Microsoft SQL Server Enterprise Core</t>
  </si>
  <si>
    <t>Power BI Premium</t>
  </si>
  <si>
    <t>Preços contratados pela ANM junto à Empresa BRASOFTWARE, CNPJ: 57.142.978/0001-05, signatária do Contrato ANM nº 10/2022, vigente por 180 dias a partir de 17 de maio de 2022.</t>
  </si>
  <si>
    <t>MAPA COMPARATIVO DE PREÇOS</t>
  </si>
  <si>
    <t>Quantidade de Subscrições</t>
  </si>
  <si>
    <t>Valor MENSAL máximo estimado pela ANM (R$)</t>
  </si>
  <si>
    <t>Valor SEMESTRAL máximo estimado pela ANM (R$)</t>
  </si>
  <si>
    <t>SUBTOTAL máximo da Contratação estimado pela ANM (R$)</t>
  </si>
  <si>
    <r>
      <t>CUSTO MENSAL MÁXIMO ESTIMADO DA CONTRATAÇÃO (</t>
    </r>
    <r>
      <rPr>
        <sz val="11"/>
        <color theme="1"/>
        <rFont val="Calibri"/>
        <family val="2"/>
        <scheme val="minor"/>
      </rPr>
      <t>apurado pela ANM</t>
    </r>
    <r>
      <rPr>
        <b/>
        <sz val="11"/>
        <color theme="1"/>
        <rFont val="Calibri"/>
        <family val="2"/>
        <scheme val="minor"/>
      </rPr>
      <t>) ------&gt;&gt;&gt;</t>
    </r>
  </si>
  <si>
    <r>
      <t>CUSTO SEMESTRAL MÁXIMO ESTIMADO DA CONTRATAÇÃO (</t>
    </r>
    <r>
      <rPr>
        <sz val="11"/>
        <color theme="1"/>
        <rFont val="Calibri"/>
        <family val="2"/>
        <scheme val="minor"/>
      </rPr>
      <t>apurado pela ANM</t>
    </r>
    <r>
      <rPr>
        <b/>
        <sz val="11"/>
        <color theme="1"/>
        <rFont val="Calibri"/>
        <family val="2"/>
        <scheme val="minor"/>
      </rPr>
      <t>) ------&gt;&gt;&gt;</t>
    </r>
  </si>
  <si>
    <r>
      <t>CUSTO TOTAL MÁXIMO ESTIMADO DA CONTRATAÇÃO APURADO PELA ANM (c</t>
    </r>
    <r>
      <rPr>
        <sz val="11"/>
        <color theme="1"/>
        <rFont val="Calibri"/>
        <family val="2"/>
        <scheme val="minor"/>
      </rPr>
      <t>onsiderando a vigência máxima da contratação emergencial</t>
    </r>
    <r>
      <rPr>
        <b/>
        <sz val="11"/>
        <color theme="1"/>
        <rFont val="Calibri"/>
        <family val="2"/>
        <scheme val="minor"/>
      </rPr>
      <t>)  ------&gt;&gt;&gt;</t>
    </r>
  </si>
  <si>
    <t>PLANILHA RESUMO - Preço Unitário Máximo Aceitável.</t>
  </si>
  <si>
    <t>i) Considerando que a principal fonte de consulta refere-se a preços coletados em contratos celebrados pela BRASOFTWARE junto outros entes públicos;
ii) Considerando que os preços estão atualizados e refletem aqueles efetivamente praticados no mercado;
iii) Entende-se pertinente que os preços estimados de referência sejam definidos como máximos aceitáveis para fins de aceitação da proposta do fornecedor selecionado;
iv) Demais esclarecimentos e justificativas constam do Relatório do Mapa de Preços em anexo.</t>
  </si>
  <si>
    <t>6.1</t>
  </si>
  <si>
    <t>6.2.1</t>
  </si>
  <si>
    <t>6.2.2</t>
  </si>
  <si>
    <t>7.1</t>
  </si>
  <si>
    <t>7.2.1</t>
  </si>
  <si>
    <t>7.2.2</t>
  </si>
  <si>
    <t>EntMobandSecE3Full ShrdSvr ALNG SubsVL MVL PerUsr</t>
  </si>
  <si>
    <t>O365E3 ShrdSvr ALNG SubsVL MVL PerUsr</t>
  </si>
  <si>
    <t>Office 365 E3</t>
  </si>
  <si>
    <t>Office 365 E5</t>
  </si>
  <si>
    <t>AAA-10842</t>
  </si>
  <si>
    <t>Add-on Enterprise Mobility + Security E3</t>
  </si>
  <si>
    <t>SY9-00004</t>
  </si>
  <si>
    <t>AAA-10732</t>
  </si>
  <si>
    <t>Microsoft 365 Enterprise Plano E3</t>
  </si>
  <si>
    <t>Office 365 Enterprise Plano E3</t>
  </si>
  <si>
    <t>Office 365 Enterprise Plano E5</t>
  </si>
  <si>
    <t>BRASOFTWARE 36m (R$) / licença *PROJETADO*</t>
  </si>
  <si>
    <t>BRASOFTWARE 36m (R$) *PROJETADO*</t>
  </si>
  <si>
    <t>O365E5 ShrdSvr ALNG SubsVL MVL PerUsr</t>
  </si>
  <si>
    <t>MS.3.0-A1722</t>
  </si>
  <si>
    <t>MS.3.0-A0874</t>
  </si>
  <si>
    <t>MS.3.0-A0853</t>
  </si>
  <si>
    <t>-</t>
  </si>
  <si>
    <t>Catálogo SGD 36 meses (R$) / licença</t>
  </si>
  <si>
    <r>
      <t xml:space="preserve">Catálogo SGD 36m / todas as licenças </t>
    </r>
    <r>
      <rPr>
        <b/>
        <u/>
        <sz val="12"/>
        <color theme="1"/>
        <rFont val="Calibri"/>
        <family val="2"/>
        <scheme val="minor"/>
      </rPr>
      <t>atuais</t>
    </r>
  </si>
  <si>
    <r>
      <t xml:space="preserve">Catálogo SGD 36m / todas as licenças </t>
    </r>
    <r>
      <rPr>
        <b/>
        <u/>
        <sz val="12"/>
        <color theme="1"/>
        <rFont val="Calibri"/>
        <family val="2"/>
        <scheme val="minor"/>
      </rPr>
      <t>propostas</t>
    </r>
  </si>
  <si>
    <t>Estimativa (Catálogo) R$/12m</t>
  </si>
  <si>
    <t>Estimativa (Catálogo) R$/36m</t>
  </si>
  <si>
    <t>TOTAIS (R$)</t>
  </si>
  <si>
    <t>Quadro-resumo de proposta de aquisição de produtos na modalidade subscrição para 36 meses.</t>
  </si>
  <si>
    <r>
      <t>Levantamento preliminar de preços com base no quantitativo atual -</t>
    </r>
    <r>
      <rPr>
        <b/>
        <sz val="13"/>
        <color rgb="FF0000FF"/>
        <rFont val="Calibri"/>
        <family val="2"/>
        <scheme val="minor"/>
      </rPr>
      <t xml:space="preserve"> Catálogo SGD e Contrato atual Brasoftware</t>
    </r>
  </si>
  <si>
    <t>Produto</t>
  </si>
  <si>
    <t>Identificador</t>
  </si>
  <si>
    <t>O365E3 ShrdSvr ALNG SubsVL MVL PerUsr; EntMobandSecE3Full ShrdSvr ALNG SubsVL MVLPerUsr</t>
  </si>
  <si>
    <t>O365E5 ShrdSvr ALNG SubsVL MVL PerUsr; EntMobandSecE3Full ShrdSvr ALNG SubsVL MVLPerUsr</t>
  </si>
  <si>
    <t>Solução Office 365 Enterprise E3 com "add on" de proteção de informações, dispositivos e identidade</t>
  </si>
  <si>
    <t>Solução Office 365 Enterprise E5 com "add on" de proteção de informações, dispositivos e identidade</t>
  </si>
  <si>
    <t>AAA-10842; AAA-10732</t>
  </si>
  <si>
    <t>SY9-00004; AAA-10732</t>
  </si>
  <si>
    <t>Unidade</t>
  </si>
  <si>
    <t>Subscrição em 36 meses</t>
  </si>
  <si>
    <t>I - Link para informações e artefatos da IRP 08/2022: https://www.gov.br/economia/pt-br/assuntos/noticias/2022/junho/orgaos-publicos-tem-novo-prazo-para-contratar-licenca-de-softwares</t>
  </si>
  <si>
    <t>II - Termo de Referência da IRP 08/2022: https://www.gov.br/economia/pt-br/assuntos/noticias/2022/junho/arquivo/sei_me-25193643-termo-de-referencia-in-01_2019.pdf</t>
  </si>
  <si>
    <t>27502/26077</t>
  </si>
  <si>
    <t>Item no TR da IRP 08/2022</t>
  </si>
  <si>
    <t>SKUs</t>
  </si>
  <si>
    <t>I - CATSER 27502: "Cessao temporaria de direitos sobre programas de computador locacao de software"</t>
  </si>
  <si>
    <t>II - CATSER 26077: "Software como serviço - SaaS"</t>
  </si>
  <si>
    <t>Planilha de estudo preliminar comparativo (licenças atuais x futuro) visando à aquisição de produtos na modalidade subscrição para 36 meses.</t>
  </si>
  <si>
    <t>Contrato Emergencial Brasoftware (atual)</t>
  </si>
  <si>
    <t>Economia (quant. atual x proposta):</t>
  </si>
  <si>
    <t>Estimativa Valor Unit. Mensal             R$ (cf. TR)</t>
  </si>
  <si>
    <t>Estimativa Total para 36 meses     R$ (cf. TR)</t>
  </si>
  <si>
    <t>Grupo/Lote no TR da IRP 08/2022</t>
  </si>
  <si>
    <t>Quadro-resumo visando ao ingresso da ANM como partícipe na IRP nº 08/2022, que visa à contratação de subscrição de licenças de uso de software do tipo suíte de escritório.</t>
  </si>
  <si>
    <t>Planilha para servir de insumo para a ANM ingressar como Órgão Participante no Registro de Preços da Central de Compras do Ministério da Economia que visa à contratação de subscrição de licenças de uso de software do tipo suíte de escritório. No caso da IRP em tela, a ANM tenciona, de maneira justificada nos artefatos da contratação (ETP) que estão sendo confeccionados, especificamente à aquisição das licenças Microsoft abaixo listadas, conforme descritas no Termo de Referência da IRP nº 08/2022.</t>
  </si>
  <si>
    <t>Power Automate</t>
  </si>
  <si>
    <t>Power Apps</t>
  </si>
  <si>
    <t>MS.3.0-A1702</t>
  </si>
  <si>
    <t>SEJ-00002</t>
  </si>
  <si>
    <t>SPU-00002</t>
  </si>
  <si>
    <t>MS.3.0-A1717</t>
  </si>
  <si>
    <t>PowerAutomateplan ShrdSvr ALNG SubsVL MVL PerUsr</t>
  </si>
  <si>
    <t>PowerAppsPlan ShrdSvr ALNG SubsVL MVL PerUsr</t>
  </si>
  <si>
    <t>TOTAIS MENOS IRP (R$)</t>
  </si>
  <si>
    <t>GRUPO 1</t>
  </si>
  <si>
    <t>Métrica catálogo SGD</t>
  </si>
  <si>
    <t>Quant. Meses</t>
  </si>
  <si>
    <t>GRUPO 1 - Suítes de escritório para colaboração e produtividade</t>
  </si>
  <si>
    <t xml:space="preserve">                    Plataformas de Dados e Inteligência de Negócio</t>
  </si>
  <si>
    <t xml:space="preserve">GRUPO 2 - Sistemas Operacionais de Servidores, Portfólios e Projetos, </t>
  </si>
  <si>
    <t>Id. Catálogo SGD</t>
  </si>
  <si>
    <t>PwrAtmtperusrRPAPln ShrdSvr ALNG SubsVL MVL PerUsr</t>
  </si>
  <si>
    <t>1O4-00001</t>
  </si>
  <si>
    <t>MS.3.0-A0069</t>
  </si>
  <si>
    <t>Power Automate com automação de processo robótico por usuário</t>
  </si>
  <si>
    <t>Identificador - Part number</t>
  </si>
  <si>
    <t>Grupo</t>
  </si>
  <si>
    <t>Inteligência de Negócio</t>
  </si>
  <si>
    <t>Modalidade</t>
  </si>
  <si>
    <t>Subscrição</t>
  </si>
  <si>
    <t>Descrição do Item</t>
  </si>
  <si>
    <t>Quant.</t>
  </si>
  <si>
    <t>Variação Percentual</t>
  </si>
  <si>
    <t>III - Pesquisa de Preços  (Inc. I e II, do Art. 5ª, da IN n. 73/2020) (SEI n. 4527217)</t>
  </si>
  <si>
    <t>PMC-TIC (unitário mensal)</t>
  </si>
  <si>
    <t>PMC-TIC (unitário anual)</t>
  </si>
  <si>
    <t>Pesquisa de Preços  (Inc. I e II, do Art. 5ª, da IN n. 73/2020) (unitário mensal)</t>
  </si>
  <si>
    <t>Pesquisa de Preços (Inc. I e II, do Art. 5ª, da IN n. 73/2020) (unitário anual)</t>
  </si>
  <si>
    <t>TOTAL PMC-TIC (ANUAL)</t>
  </si>
  <si>
    <t>Pesquisa de Preços (Inc. I e II, do Art. 5ª, da IN n. 73/2020) (total anual)</t>
  </si>
  <si>
    <t>TOTAL PESQUISA DIRETA COM FORNECEDORES (ANUAL)</t>
  </si>
  <si>
    <t>Variação Percentual (PMC-TIC x Fornecedores)</t>
  </si>
  <si>
    <t>PMC-TIC (total anual)</t>
  </si>
  <si>
    <t>TOTAL PREÇOS PÚBLICOS (ANUAL)</t>
  </si>
  <si>
    <t>Pesquisa de Preços  (Inc. IV, do Art. 5ª, da IN n. 73/2020) (unitário mensal)</t>
  </si>
  <si>
    <t>Pesquisa de Preços (Inc.IV, do Art. 5ª, da IN n. 73/2020) (unitário anual)</t>
  </si>
  <si>
    <t>Pesquisa de Preços (Inc. IV, do Art. 5ª, da IN n. 73/2020) (total anual)</t>
  </si>
  <si>
    <t>III - Pesquisa de Preços  (Inc. IV, do Art. 5ª, da IN n. 73/2020) (SEI n. 4527219)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</si>
</sst>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&quot;\ #,##0.00"/>
  </numFmts>
  <fonts count="4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trike/>
      <sz val="13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trike/>
      <sz val="12"/>
      <color rgb="FFFF0000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rgb="FF0000FF"/>
      <name val="Calibri"/>
      <family val="2"/>
      <scheme val="minor"/>
    </font>
    <font>
      <sz val="12"/>
      <color rgb="FF0000FF"/>
      <name val="Calibri"/>
      <family val="2"/>
      <scheme val="minor"/>
    </font>
    <font>
      <sz val="11"/>
      <color rgb="FF000000"/>
      <name val="Calibri"/>
      <family val="2"/>
    </font>
    <font>
      <b/>
      <strike/>
      <sz val="10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3"/>
      <color theme="0"/>
      <name val="Calibri"/>
      <family val="2"/>
      <scheme val="minor"/>
    </font>
    <font>
      <b/>
      <sz val="13"/>
      <color rgb="FFC00000"/>
      <name val="Calibri"/>
      <family val="2"/>
      <scheme val="minor"/>
    </font>
    <font>
      <b/>
      <sz val="13"/>
      <color rgb="FF0000FF"/>
      <name val="Calibri"/>
      <family val="2"/>
      <scheme val="minor"/>
    </font>
    <font>
      <sz val="13"/>
      <color theme="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3"/>
      <color rgb="FF008000"/>
      <name val="Calibri"/>
      <family val="2"/>
      <scheme val="minor"/>
    </font>
    <font>
      <b/>
      <sz val="13"/>
      <color rgb="FF003300"/>
      <name val="Calibri"/>
      <family val="2"/>
      <scheme val="minor"/>
    </font>
    <font>
      <b/>
      <sz val="13"/>
      <color rgb="FF009900"/>
      <name val="Calibri"/>
      <family val="2"/>
      <scheme val="minor"/>
    </font>
    <font>
      <sz val="13"/>
      <color rgb="FF008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8000"/>
      <name val="Calibri"/>
      <family val="2"/>
      <scheme val="minor"/>
    </font>
    <font>
      <sz val="13"/>
      <color theme="1" tint="0.249977111117893"/>
      <name val="Calibri"/>
      <family val="2"/>
      <scheme val="minor"/>
    </font>
    <font>
      <b/>
      <sz val="13"/>
      <color theme="1" tint="0.249977111117893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trike/>
      <sz val="11"/>
      <color rgb="FF000000"/>
      <name val="Calibri"/>
      <family val="2"/>
    </font>
    <font>
      <sz val="13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  <font>
      <sz val="13"/>
      <color rgb="FF0000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.5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3"/>
      <color rgb="FF000000"/>
      <name val="Calibri"/>
      <family val="2"/>
    </font>
    <font>
      <b/>
      <sz val="11.5"/>
      <color theme="5" tint="-0.499984740745262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DFFD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DFF6F"/>
        <bgColor indexed="64"/>
      </patternFill>
    </fill>
    <fill>
      <patternFill patternType="solid">
        <fgColor rgb="FF00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8">
    <xf numFmtId="0" fontId="0" fillId="0" borderId="0"/>
    <xf numFmtId="0" fontId="38" fillId="0" borderId="0" applyNumberFormat="0" applyFill="0" applyBorder="0" applyAlignment="0" applyProtection="0"/>
    <xf numFmtId="44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44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0" fontId="14" fillId="0" borderId="0"/>
    <xf numFmtId="0" fontId="46" fillId="0" borderId="0"/>
  </cellStyleXfs>
  <cellXfs count="294">
    <xf numFmtId="0" fontId="0" fillId="0" borderId="0" xfId="0"/>
    <xf numFmtId="0" fontId="4" fillId="0" borderId="0" xfId="0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justify"/>
    </xf>
    <xf numFmtId="43" fontId="2" fillId="0" borderId="0" xfId="0" applyNumberFormat="1" applyFont="1"/>
    <xf numFmtId="0" fontId="6" fillId="0" borderId="0" xfId="0" applyFont="1"/>
    <xf numFmtId="0" fontId="5" fillId="0" borderId="0" xfId="0" applyFont="1"/>
    <xf numFmtId="49" fontId="0" fillId="0" borderId="0" xfId="0" applyNumberFormat="1"/>
    <xf numFmtId="0" fontId="5" fillId="2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justify"/>
    </xf>
    <xf numFmtId="49" fontId="4" fillId="0" borderId="0" xfId="0" applyNumberFormat="1" applyFont="1"/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vertical="top" wrapText="1"/>
    </xf>
    <xf numFmtId="0" fontId="6" fillId="0" borderId="0" xfId="0" applyFont="1" applyAlignment="1">
      <alignment vertical="top" wrapText="1"/>
    </xf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justify" vertical="top" wrapText="1"/>
    </xf>
    <xf numFmtId="0" fontId="14" fillId="0" borderId="1" xfId="0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vertical="center"/>
    </xf>
    <xf numFmtId="0" fontId="14" fillId="0" borderId="7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6" fillId="0" borderId="0" xfId="0" applyFont="1" applyAlignment="1">
      <alignment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horizontal="justify" vertical="center"/>
    </xf>
    <xf numFmtId="1" fontId="6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10" fontId="6" fillId="0" borderId="1" xfId="0" applyNumberFormat="1" applyFont="1" applyBorder="1" applyAlignment="1">
      <alignment vertical="center"/>
    </xf>
    <xf numFmtId="4" fontId="18" fillId="0" borderId="1" xfId="0" applyNumberFormat="1" applyFont="1" applyBorder="1" applyAlignment="1">
      <alignment vertical="center"/>
    </xf>
    <xf numFmtId="4" fontId="19" fillId="0" borderId="1" xfId="0" applyNumberFormat="1" applyFont="1" applyBorder="1" applyAlignment="1">
      <alignment vertical="center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vertical="center"/>
    </xf>
    <xf numFmtId="4" fontId="6" fillId="7" borderId="1" xfId="0" applyNumberFormat="1" applyFont="1" applyFill="1" applyBorder="1" applyAlignment="1">
      <alignment horizontal="center" vertical="center"/>
    </xf>
    <xf numFmtId="4" fontId="6" fillId="8" borderId="1" xfId="0" applyNumberFormat="1" applyFont="1" applyFill="1" applyBorder="1" applyAlignment="1">
      <alignment horizontal="center" vertical="center"/>
    </xf>
    <xf numFmtId="4" fontId="6" fillId="9" borderId="1" xfId="0" applyNumberFormat="1" applyFont="1" applyFill="1" applyBorder="1" applyAlignment="1">
      <alignment horizontal="center" vertical="center"/>
    </xf>
    <xf numFmtId="4" fontId="6" fillId="10" borderId="1" xfId="0" applyNumberFormat="1" applyFont="1" applyFill="1" applyBorder="1" applyAlignment="1">
      <alignment horizontal="center" vertical="center"/>
    </xf>
    <xf numFmtId="4" fontId="5" fillId="11" borderId="1" xfId="0" applyNumberFormat="1" applyFont="1" applyFill="1" applyBorder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 wrapText="1"/>
    </xf>
    <xf numFmtId="4" fontId="0" fillId="4" borderId="15" xfId="0" applyNumberForma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1" fontId="6" fillId="0" borderId="20" xfId="0" applyNumberFormat="1" applyFont="1" applyBorder="1" applyAlignment="1">
      <alignment horizontal="center" vertical="center"/>
    </xf>
    <xf numFmtId="1" fontId="6" fillId="0" borderId="21" xfId="0" applyNumberFormat="1" applyFont="1" applyBorder="1" applyAlignment="1">
      <alignment horizontal="center" vertical="center"/>
    </xf>
    <xf numFmtId="0" fontId="14" fillId="0" borderId="22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center" vertical="center" wrapText="1"/>
    </xf>
    <xf numFmtId="1" fontId="6" fillId="0" borderId="24" xfId="0" applyNumberFormat="1" applyFont="1" applyBorder="1" applyAlignment="1">
      <alignment horizontal="center" vertical="center"/>
    </xf>
    <xf numFmtId="4" fontId="1" fillId="4" borderId="17" xfId="0" applyNumberFormat="1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vertical="top"/>
    </xf>
    <xf numFmtId="4" fontId="8" fillId="7" borderId="1" xfId="0" applyNumberFormat="1" applyFont="1" applyFill="1" applyBorder="1" applyAlignment="1">
      <alignment horizontal="center" vertical="center"/>
    </xf>
    <xf numFmtId="4" fontId="8" fillId="9" borderId="1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4" fontId="8" fillId="8" borderId="1" xfId="0" applyNumberFormat="1" applyFont="1" applyFill="1" applyBorder="1" applyAlignment="1">
      <alignment horizontal="center" vertical="center"/>
    </xf>
    <xf numFmtId="4" fontId="22" fillId="5" borderId="1" xfId="0" applyNumberFormat="1" applyFont="1" applyFill="1" applyBorder="1" applyAlignment="1">
      <alignment horizontal="center" vertical="center" wrapText="1"/>
    </xf>
    <xf numFmtId="4" fontId="23" fillId="5" borderId="1" xfId="0" applyNumberFormat="1" applyFont="1" applyFill="1" applyBorder="1" applyAlignment="1">
      <alignment horizontal="center" vertical="center" wrapText="1"/>
    </xf>
    <xf numFmtId="0" fontId="1" fillId="8" borderId="27" xfId="0" applyFont="1" applyFill="1" applyBorder="1" applyAlignment="1">
      <alignment horizontal="center" vertical="center" wrapText="1"/>
    </xf>
    <xf numFmtId="0" fontId="0" fillId="8" borderId="16" xfId="0" applyFill="1" applyBorder="1"/>
    <xf numFmtId="4" fontId="1" fillId="8" borderId="28" xfId="0" applyNumberFormat="1" applyFont="1" applyFill="1" applyBorder="1" applyAlignment="1">
      <alignment horizontal="center" vertical="center"/>
    </xf>
    <xf numFmtId="0" fontId="0" fillId="7" borderId="15" xfId="0" applyFill="1" applyBorder="1"/>
    <xf numFmtId="4" fontId="0" fillId="8" borderId="16" xfId="0" applyNumberFormat="1" applyFill="1" applyBorder="1" applyAlignment="1">
      <alignment horizontal="center" vertical="center" wrapText="1"/>
    </xf>
    <xf numFmtId="4" fontId="1" fillId="7" borderId="15" xfId="0" applyNumberFormat="1" applyFont="1" applyFill="1" applyBorder="1" applyAlignment="1">
      <alignment horizontal="center" vertical="center" wrapText="1"/>
    </xf>
    <xf numFmtId="4" fontId="1" fillId="7" borderId="17" xfId="0" applyNumberFormat="1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vertical="center" wrapText="1"/>
    </xf>
    <xf numFmtId="4" fontId="24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2" borderId="5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/>
    <xf numFmtId="0" fontId="3" fillId="2" borderId="12" xfId="0" applyFont="1" applyFill="1" applyBorder="1"/>
    <xf numFmtId="4" fontId="3" fillId="2" borderId="1" xfId="0" applyNumberFormat="1" applyFont="1" applyFill="1" applyBorder="1" applyAlignment="1">
      <alignment horizontal="center" vertical="center"/>
    </xf>
    <xf numFmtId="4" fontId="27" fillId="2" borderId="1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5" fillId="0" borderId="0" xfId="0" applyFont="1" applyAlignment="1">
      <alignment horizontal="center"/>
    </xf>
    <xf numFmtId="4" fontId="25" fillId="5" borderId="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/>
    </xf>
    <xf numFmtId="4" fontId="19" fillId="9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4" fontId="18" fillId="9" borderId="1" xfId="0" applyNumberFormat="1" applyFont="1" applyFill="1" applyBorder="1" applyAlignment="1">
      <alignment horizontal="center" vertical="center"/>
    </xf>
    <xf numFmtId="4" fontId="28" fillId="5" borderId="30" xfId="0" applyNumberFormat="1" applyFont="1" applyFill="1" applyBorder="1" applyAlignment="1">
      <alignment horizontal="center" vertical="center" wrapText="1"/>
    </xf>
    <xf numFmtId="4" fontId="29" fillId="5" borderId="31" xfId="0" applyNumberFormat="1" applyFont="1" applyFill="1" applyBorder="1" applyAlignment="1">
      <alignment horizontal="center" vertical="center" wrapText="1"/>
    </xf>
    <xf numFmtId="4" fontId="30" fillId="2" borderId="30" xfId="0" applyNumberFormat="1" applyFont="1" applyFill="1" applyBorder="1" applyAlignment="1">
      <alignment horizontal="center" vertical="center"/>
    </xf>
    <xf numFmtId="4" fontId="30" fillId="2" borderId="31" xfId="0" applyNumberFormat="1" applyFont="1" applyFill="1" applyBorder="1" applyAlignment="1">
      <alignment horizontal="center" vertical="center"/>
    </xf>
    <xf numFmtId="0" fontId="30" fillId="2" borderId="30" xfId="0" applyFont="1" applyFill="1" applyBorder="1" applyAlignment="1">
      <alignment horizontal="center" vertical="center" wrapText="1"/>
    </xf>
    <xf numFmtId="0" fontId="30" fillId="2" borderId="3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14" borderId="1" xfId="0" applyFont="1" applyFill="1" applyBorder="1" applyAlignment="1">
      <alignment horizontal="center" vertical="center" wrapText="1"/>
    </xf>
    <xf numFmtId="0" fontId="14" fillId="14" borderId="7" xfId="0" applyFont="1" applyFill="1" applyBorder="1" applyAlignment="1">
      <alignment horizontal="left" vertical="center" wrapText="1"/>
    </xf>
    <xf numFmtId="0" fontId="14" fillId="14" borderId="1" xfId="0" applyFont="1" applyFill="1" applyBorder="1" applyAlignment="1">
      <alignment horizontal="justify" vertical="center" wrapText="1"/>
    </xf>
    <xf numFmtId="0" fontId="14" fillId="14" borderId="11" xfId="0" applyFont="1" applyFill="1" applyBorder="1" applyAlignment="1">
      <alignment horizontal="center" vertical="center" wrapText="1"/>
    </xf>
    <xf numFmtId="0" fontId="14" fillId="14" borderId="7" xfId="0" applyFont="1" applyFill="1" applyBorder="1" applyAlignment="1">
      <alignment horizontal="center" vertical="center" wrapText="1"/>
    </xf>
    <xf numFmtId="0" fontId="14" fillId="15" borderId="1" xfId="0" applyFont="1" applyFill="1" applyBorder="1" applyAlignment="1">
      <alignment horizontal="center" vertical="center" wrapText="1"/>
    </xf>
    <xf numFmtId="0" fontId="0" fillId="15" borderId="1" xfId="0" applyFill="1" applyBorder="1" applyAlignment="1">
      <alignment horizontal="justify" vertical="center"/>
    </xf>
    <xf numFmtId="0" fontId="14" fillId="15" borderId="11" xfId="0" applyFont="1" applyFill="1" applyBorder="1" applyAlignment="1">
      <alignment horizontal="center" vertical="center" wrapText="1"/>
    </xf>
    <xf numFmtId="0" fontId="14" fillId="15" borderId="7" xfId="0" applyFont="1" applyFill="1" applyBorder="1" applyAlignment="1">
      <alignment horizontal="center" vertical="center" wrapText="1"/>
    </xf>
    <xf numFmtId="0" fontId="14" fillId="15" borderId="7" xfId="0" applyFont="1" applyFill="1" applyBorder="1" applyAlignment="1">
      <alignment horizontal="left" vertical="center" wrapText="1"/>
    </xf>
    <xf numFmtId="0" fontId="14" fillId="16" borderId="1" xfId="0" applyFont="1" applyFill="1" applyBorder="1" applyAlignment="1">
      <alignment horizontal="center" vertical="center" wrapText="1"/>
    </xf>
    <xf numFmtId="0" fontId="14" fillId="16" borderId="7" xfId="0" applyFont="1" applyFill="1" applyBorder="1" applyAlignment="1">
      <alignment horizontal="left" vertical="center" wrapText="1"/>
    </xf>
    <xf numFmtId="0" fontId="0" fillId="16" borderId="1" xfId="0" applyFill="1" applyBorder="1" applyAlignment="1">
      <alignment horizontal="justify" vertical="center"/>
    </xf>
    <xf numFmtId="0" fontId="14" fillId="16" borderId="11" xfId="0" applyFont="1" applyFill="1" applyBorder="1" applyAlignment="1">
      <alignment horizontal="center" vertical="center" wrapText="1"/>
    </xf>
    <xf numFmtId="0" fontId="14" fillId="16" borderId="7" xfId="0" applyFont="1" applyFill="1" applyBorder="1" applyAlignment="1">
      <alignment horizontal="center" vertical="center" wrapText="1"/>
    </xf>
    <xf numFmtId="0" fontId="14" fillId="16" borderId="1" xfId="0" applyFont="1" applyFill="1" applyBorder="1" applyAlignment="1">
      <alignment horizontal="justify" vertical="center" wrapText="1"/>
    </xf>
    <xf numFmtId="0" fontId="32" fillId="13" borderId="7" xfId="0" applyFont="1" applyFill="1" applyBorder="1" applyAlignment="1">
      <alignment horizontal="left" vertical="center" wrapText="1"/>
    </xf>
    <xf numFmtId="1" fontId="6" fillId="17" borderId="1" xfId="0" applyNumberFormat="1" applyFont="1" applyFill="1" applyBorder="1" applyAlignment="1">
      <alignment horizontal="center" vertical="center"/>
    </xf>
    <xf numFmtId="0" fontId="14" fillId="17" borderId="1" xfId="0" applyFont="1" applyFill="1" applyBorder="1" applyAlignment="1">
      <alignment horizontal="left" vertical="center" wrapText="1"/>
    </xf>
    <xf numFmtId="0" fontId="14" fillId="17" borderId="1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justify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4" fontId="24" fillId="5" borderId="1" xfId="0" quotePrefix="1" applyNumberFormat="1" applyFont="1" applyFill="1" applyBorder="1" applyAlignment="1">
      <alignment horizontal="center" vertical="center" wrapText="1"/>
    </xf>
    <xf numFmtId="1" fontId="6" fillId="13" borderId="1" xfId="0" applyNumberFormat="1" applyFont="1" applyFill="1" applyBorder="1" applyAlignment="1">
      <alignment horizontal="center" vertical="center"/>
    </xf>
    <xf numFmtId="0" fontId="32" fillId="13" borderId="1" xfId="0" applyFont="1" applyFill="1" applyBorder="1" applyAlignment="1">
      <alignment horizontal="left" vertical="center" wrapText="1"/>
    </xf>
    <xf numFmtId="1" fontId="6" fillId="14" borderId="1" xfId="0" applyNumberFormat="1" applyFont="1" applyFill="1" applyBorder="1" applyAlignment="1">
      <alignment horizontal="center" vertical="center"/>
    </xf>
    <xf numFmtId="0" fontId="14" fillId="14" borderId="1" xfId="0" applyFont="1" applyFill="1" applyBorder="1" applyAlignment="1">
      <alignment horizontal="left" vertical="center" wrapText="1"/>
    </xf>
    <xf numFmtId="4" fontId="33" fillId="9" borderId="1" xfId="0" applyNumberFormat="1" applyFont="1" applyFill="1" applyBorder="1" applyAlignment="1">
      <alignment horizontal="center" vertical="center"/>
    </xf>
    <xf numFmtId="4" fontId="34" fillId="2" borderId="1" xfId="0" applyNumberFormat="1" applyFont="1" applyFill="1" applyBorder="1" applyAlignment="1">
      <alignment horizontal="center" vertical="center"/>
    </xf>
    <xf numFmtId="4" fontId="35" fillId="9" borderId="1" xfId="0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4" fontId="14" fillId="16" borderId="11" xfId="0" applyNumberFormat="1" applyFont="1" applyFill="1" applyBorder="1" applyAlignment="1">
      <alignment horizontal="center" vertical="center" wrapText="1"/>
    </xf>
    <xf numFmtId="4" fontId="14" fillId="14" borderId="11" xfId="0" applyNumberFormat="1" applyFont="1" applyFill="1" applyBorder="1" applyAlignment="1">
      <alignment horizontal="center" vertical="center" wrapText="1"/>
    </xf>
    <xf numFmtId="4" fontId="14" fillId="15" borderId="11" xfId="0" applyNumberFormat="1" applyFont="1" applyFill="1" applyBorder="1" applyAlignment="1">
      <alignment horizontal="center" vertical="center" wrapText="1"/>
    </xf>
    <xf numFmtId="4" fontId="37" fillId="12" borderId="33" xfId="0" applyNumberFormat="1" applyFont="1" applyFill="1" applyBorder="1" applyAlignment="1">
      <alignment vertical="top" wrapText="1"/>
    </xf>
    <xf numFmtId="0" fontId="36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4" fillId="7" borderId="1" xfId="0" applyFont="1" applyFill="1" applyBorder="1" applyAlignment="1">
      <alignment horizontal="center" vertical="center" wrapText="1"/>
    </xf>
    <xf numFmtId="0" fontId="14" fillId="7" borderId="7" xfId="0" applyFont="1" applyFill="1" applyBorder="1" applyAlignment="1">
      <alignment horizontal="left" vertical="center" wrapText="1"/>
    </xf>
    <xf numFmtId="0" fontId="14" fillId="7" borderId="11" xfId="0" applyFont="1" applyFill="1" applyBorder="1" applyAlignment="1">
      <alignment horizontal="center" vertical="center" wrapText="1"/>
    </xf>
    <xf numFmtId="4" fontId="14" fillId="7" borderId="11" xfId="0" applyNumberFormat="1" applyFont="1" applyFill="1" applyBorder="1" applyAlignment="1">
      <alignment horizontal="center" vertical="center" wrapText="1"/>
    </xf>
    <xf numFmtId="0" fontId="38" fillId="0" borderId="0" xfId="1"/>
    <xf numFmtId="0" fontId="39" fillId="18" borderId="2" xfId="0" applyFont="1" applyFill="1" applyBorder="1"/>
    <xf numFmtId="164" fontId="40" fillId="18" borderId="36" xfId="0" applyNumberFormat="1" applyFont="1" applyFill="1" applyBorder="1"/>
    <xf numFmtId="0" fontId="14" fillId="7" borderId="37" xfId="0" applyFont="1" applyFill="1" applyBorder="1" applyAlignment="1">
      <alignment horizontal="center" vertical="center" wrapText="1"/>
    </xf>
    <xf numFmtId="0" fontId="5" fillId="0" borderId="38" xfId="0" applyFont="1" applyBorder="1" applyAlignment="1">
      <alignment horizontal="center"/>
    </xf>
    <xf numFmtId="1" fontId="6" fillId="19" borderId="1" xfId="0" applyNumberFormat="1" applyFont="1" applyFill="1" applyBorder="1" applyAlignment="1">
      <alignment horizontal="center" vertical="center"/>
    </xf>
    <xf numFmtId="0" fontId="14" fillId="19" borderId="1" xfId="0" applyFont="1" applyFill="1" applyBorder="1" applyAlignment="1">
      <alignment horizontal="left" vertical="center" wrapText="1"/>
    </xf>
    <xf numFmtId="0" fontId="14" fillId="19" borderId="1" xfId="0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1" fontId="4" fillId="17" borderId="1" xfId="0" applyNumberFormat="1" applyFont="1" applyFill="1" applyBorder="1" applyAlignment="1">
      <alignment horizontal="center" vertical="center"/>
    </xf>
    <xf numFmtId="1" fontId="4" fillId="13" borderId="1" xfId="0" applyNumberFormat="1" applyFont="1" applyFill="1" applyBorder="1" applyAlignment="1">
      <alignment horizontal="center" vertical="center"/>
    </xf>
    <xf numFmtId="1" fontId="4" fillId="14" borderId="1" xfId="0" applyNumberFormat="1" applyFont="1" applyFill="1" applyBorder="1" applyAlignment="1">
      <alignment horizontal="center" vertical="center"/>
    </xf>
    <xf numFmtId="1" fontId="4" fillId="19" borderId="1" xfId="0" applyNumberFormat="1" applyFont="1" applyFill="1" applyBorder="1" applyAlignment="1">
      <alignment horizontal="center" vertical="center"/>
    </xf>
    <xf numFmtId="0" fontId="41" fillId="12" borderId="11" xfId="0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top" wrapText="1"/>
    </xf>
    <xf numFmtId="1" fontId="6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4" fontId="42" fillId="12" borderId="33" xfId="0" applyNumberFormat="1" applyFont="1" applyFill="1" applyBorder="1" applyAlignment="1">
      <alignment vertical="top" wrapText="1"/>
    </xf>
    <xf numFmtId="0" fontId="6" fillId="0" borderId="0" xfId="0" applyFont="1" applyAlignment="1">
      <alignment horizontal="justify" vertical="top" wrapText="1"/>
    </xf>
    <xf numFmtId="0" fontId="14" fillId="0" borderId="7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justify" vertical="center"/>
    </xf>
    <xf numFmtId="0" fontId="14" fillId="0" borderId="1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4" fontId="14" fillId="0" borderId="1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6" fillId="7" borderId="6" xfId="0" applyFont="1" applyFill="1" applyBorder="1"/>
    <xf numFmtId="0" fontId="6" fillId="7" borderId="12" xfId="0" applyFont="1" applyFill="1" applyBorder="1" applyAlignment="1">
      <alignment horizontal="justify" vertical="top" wrapText="1"/>
    </xf>
    <xf numFmtId="0" fontId="6" fillId="7" borderId="13" xfId="0" applyFont="1" applyFill="1" applyBorder="1" applyAlignment="1">
      <alignment horizontal="justify" vertical="top" wrapText="1"/>
    </xf>
    <xf numFmtId="0" fontId="5" fillId="7" borderId="43" xfId="0" applyFont="1" applyFill="1" applyBorder="1"/>
    <xf numFmtId="0" fontId="6" fillId="7" borderId="44" xfId="0" applyFont="1" applyFill="1" applyBorder="1" applyAlignment="1">
      <alignment horizontal="justify" vertical="top" wrapText="1"/>
    </xf>
    <xf numFmtId="0" fontId="6" fillId="7" borderId="45" xfId="0" applyFont="1" applyFill="1" applyBorder="1" applyAlignment="1">
      <alignment horizontal="justify" vertical="top" wrapText="1"/>
    </xf>
    <xf numFmtId="0" fontId="5" fillId="7" borderId="46" xfId="0" applyFont="1" applyFill="1" applyBorder="1"/>
    <xf numFmtId="0" fontId="6" fillId="7" borderId="47" xfId="0" applyFont="1" applyFill="1" applyBorder="1" applyAlignment="1">
      <alignment horizontal="justify" vertical="top" wrapText="1"/>
    </xf>
    <xf numFmtId="0" fontId="6" fillId="7" borderId="48" xfId="0" applyFont="1" applyFill="1" applyBorder="1" applyAlignment="1">
      <alignment horizontal="justify" vertical="top" wrapText="1"/>
    </xf>
    <xf numFmtId="0" fontId="14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4" fillId="0" borderId="0" xfId="0" applyNumberFormat="1" applyFont="1" applyAlignment="1">
      <alignment horizontal="justify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justify" vertical="center" wrapText="1"/>
    </xf>
    <xf numFmtId="0" fontId="5" fillId="7" borderId="6" xfId="0" applyFont="1" applyFill="1" applyBorder="1" applyAlignment="1"/>
    <xf numFmtId="0" fontId="0" fillId="7" borderId="12" xfId="0" applyFill="1" applyBorder="1" applyAlignment="1"/>
    <xf numFmtId="0" fontId="0" fillId="7" borderId="13" xfId="0" applyFill="1" applyBorder="1" applyAlignment="1"/>
    <xf numFmtId="49" fontId="4" fillId="0" borderId="0" xfId="0" applyNumberFormat="1" applyFont="1" applyAlignment="1">
      <alignment horizontal="justify" vertical="top" wrapText="1"/>
    </xf>
    <xf numFmtId="0" fontId="14" fillId="16" borderId="5" xfId="0" applyFont="1" applyFill="1" applyBorder="1" applyAlignment="1">
      <alignment horizontal="center" vertical="center" wrapText="1"/>
    </xf>
    <xf numFmtId="165" fontId="0" fillId="0" borderId="0" xfId="0" applyNumberFormat="1"/>
    <xf numFmtId="44" fontId="14" fillId="2" borderId="1" xfId="2" applyFont="1" applyFill="1" applyBorder="1" applyAlignment="1">
      <alignment horizontal="justify" vertical="center" wrapText="1"/>
    </xf>
    <xf numFmtId="44" fontId="0" fillId="16" borderId="1" xfId="2" applyFont="1" applyFill="1" applyBorder="1" applyAlignment="1">
      <alignment horizontal="justify" vertical="center"/>
    </xf>
    <xf numFmtId="44" fontId="14" fillId="16" borderId="1" xfId="2" applyFont="1" applyFill="1" applyBorder="1" applyAlignment="1">
      <alignment horizontal="justify" vertical="center" wrapText="1"/>
    </xf>
    <xf numFmtId="44" fontId="14" fillId="2" borderId="1" xfId="0" applyNumberFormat="1" applyFont="1" applyFill="1" applyBorder="1" applyAlignment="1">
      <alignment horizontal="justify" vertical="center" wrapText="1"/>
    </xf>
    <xf numFmtId="44" fontId="0" fillId="0" borderId="0" xfId="2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44" fontId="0" fillId="0" borderId="1" xfId="2" applyFont="1" applyBorder="1" applyAlignment="1">
      <alignment horizontal="center" vertical="center"/>
    </xf>
    <xf numFmtId="44" fontId="0" fillId="0" borderId="0" xfId="2" applyFont="1" applyBorder="1" applyAlignment="1">
      <alignment horizontal="center" vertical="center"/>
    </xf>
    <xf numFmtId="44" fontId="0" fillId="0" borderId="0" xfId="2" applyFont="1" applyBorder="1"/>
    <xf numFmtId="0" fontId="0" fillId="0" borderId="0" xfId="0"/>
    <xf numFmtId="0" fontId="0" fillId="0" borderId="0" xfId="0" applyBorder="1"/>
    <xf numFmtId="9" fontId="0" fillId="0" borderId="1" xfId="3" applyFont="1" applyBorder="1" applyAlignment="1">
      <alignment horizontal="center" vertical="center"/>
    </xf>
    <xf numFmtId="44" fontId="0" fillId="0" borderId="1" xfId="2" applyFont="1" applyBorder="1" applyAlignment="1">
      <alignment vertical="center"/>
    </xf>
    <xf numFmtId="44" fontId="0" fillId="0" borderId="1" xfId="2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44" fontId="0" fillId="0" borderId="1" xfId="0" applyNumberFormat="1" applyBorder="1" applyAlignment="1">
      <alignment horizontal="center" vertical="center"/>
    </xf>
    <xf numFmtId="0" fontId="14" fillId="16" borderId="1" xfId="0" applyFont="1" applyFill="1" applyBorder="1" applyAlignment="1">
      <alignment horizontal="left" vertical="center" wrapText="1"/>
    </xf>
    <xf numFmtId="44" fontId="1" fillId="0" borderId="1" xfId="0" applyNumberFormat="1" applyFont="1" applyFill="1" applyBorder="1" applyAlignment="1">
      <alignment horizontal="right" vertical="top" wrapText="1"/>
    </xf>
    <xf numFmtId="0" fontId="14" fillId="16" borderId="50" xfId="0" applyFont="1" applyFill="1" applyBorder="1" applyAlignment="1">
      <alignment horizontal="center" vertical="center" wrapText="1"/>
    </xf>
    <xf numFmtId="0" fontId="14" fillId="16" borderId="50" xfId="0" applyFont="1" applyFill="1" applyBorder="1" applyAlignment="1">
      <alignment horizontal="left" vertical="center" wrapText="1"/>
    </xf>
    <xf numFmtId="0" fontId="0" fillId="16" borderId="50" xfId="0" applyFill="1" applyBorder="1" applyAlignment="1">
      <alignment horizontal="justify" vertical="center"/>
    </xf>
    <xf numFmtId="44" fontId="0" fillId="16" borderId="50" xfId="2" applyFont="1" applyFill="1" applyBorder="1" applyAlignment="1">
      <alignment horizontal="justify" vertical="center"/>
    </xf>
    <xf numFmtId="44" fontId="0" fillId="0" borderId="50" xfId="0" applyNumberFormat="1" applyBorder="1" applyAlignment="1">
      <alignment horizontal="center" vertical="center"/>
    </xf>
    <xf numFmtId="44" fontId="0" fillId="0" borderId="50" xfId="2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20" borderId="1" xfId="3" applyFont="1" applyFill="1" applyBorder="1" applyAlignment="1">
      <alignment horizontal="center" vertical="center"/>
    </xf>
    <xf numFmtId="9" fontId="0" fillId="20" borderId="50" xfId="3" applyFont="1" applyFill="1" applyBorder="1" applyAlignment="1">
      <alignment horizontal="center" vertical="center"/>
    </xf>
    <xf numFmtId="9" fontId="0" fillId="21" borderId="1" xfId="3" applyFont="1" applyFill="1" applyBorder="1" applyAlignment="1">
      <alignment horizontal="center" vertical="center"/>
    </xf>
    <xf numFmtId="9" fontId="0" fillId="22" borderId="1" xfId="3" applyFont="1" applyFill="1" applyBorder="1" applyAlignment="1">
      <alignment horizontal="center" vertical="center"/>
    </xf>
    <xf numFmtId="0" fontId="14" fillId="16" borderId="51" xfId="0" applyFont="1" applyFill="1" applyBorder="1" applyAlignment="1">
      <alignment horizontal="left" vertical="center" wrapText="1"/>
    </xf>
    <xf numFmtId="0" fontId="0" fillId="16" borderId="5" xfId="0" applyFill="1" applyBorder="1" applyAlignment="1">
      <alignment horizontal="justify" vertical="center"/>
    </xf>
    <xf numFmtId="0" fontId="14" fillId="16" borderId="39" xfId="0" applyFont="1" applyFill="1" applyBorder="1" applyAlignment="1">
      <alignment horizontal="center" vertical="center" wrapText="1"/>
    </xf>
    <xf numFmtId="44" fontId="0" fillId="16" borderId="5" xfId="2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center" vertical="center" wrapText="1"/>
    </xf>
    <xf numFmtId="44" fontId="14" fillId="0" borderId="1" xfId="0" applyNumberFormat="1" applyFont="1" applyFill="1" applyBorder="1" applyAlignment="1">
      <alignment horizontal="justify" vertical="center" wrapText="1"/>
    </xf>
    <xf numFmtId="44" fontId="0" fillId="0" borderId="1" xfId="2" applyFont="1" applyFill="1" applyBorder="1" applyAlignment="1">
      <alignment horizontal="justify" vertical="center"/>
    </xf>
    <xf numFmtId="0" fontId="14" fillId="16" borderId="52" xfId="0" applyFont="1" applyFill="1" applyBorder="1" applyAlignment="1">
      <alignment horizontal="left" vertical="center" wrapText="1"/>
    </xf>
    <xf numFmtId="0" fontId="14" fillId="16" borderId="53" xfId="0" applyFont="1" applyFill="1" applyBorder="1" applyAlignment="1">
      <alignment horizontal="center" vertical="center" wrapText="1"/>
    </xf>
    <xf numFmtId="44" fontId="0" fillId="0" borderId="50" xfId="2" applyFont="1" applyFill="1" applyBorder="1" applyAlignment="1">
      <alignment horizontal="justify" vertical="center"/>
    </xf>
    <xf numFmtId="9" fontId="0" fillId="21" borderId="50" xfId="3" applyFont="1" applyFill="1" applyBorder="1" applyAlignment="1">
      <alignment horizontal="center" vertical="center"/>
    </xf>
    <xf numFmtId="44" fontId="0" fillId="0" borderId="0" xfId="0" applyNumberFormat="1"/>
    <xf numFmtId="0" fontId="6" fillId="0" borderId="0" xfId="0" applyFont="1" applyAlignment="1">
      <alignment horizontal="justify" vertical="top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4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4" fillId="0" borderId="0" xfId="0" applyNumberFormat="1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17" fillId="6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7" fillId="6" borderId="6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7" fillId="6" borderId="32" xfId="0" applyFont="1" applyFill="1" applyBorder="1" applyAlignment="1">
      <alignment horizontal="center" vertical="center"/>
    </xf>
    <xf numFmtId="0" fontId="0" fillId="0" borderId="0" xfId="0" applyAlignment="1"/>
    <xf numFmtId="0" fontId="1" fillId="12" borderId="40" xfId="0" applyFont="1" applyFill="1" applyBorder="1" applyAlignment="1">
      <alignment horizontal="center" vertical="top" wrapText="1"/>
    </xf>
    <xf numFmtId="0" fontId="0" fillId="0" borderId="39" xfId="0" applyBorder="1" applyAlignment="1">
      <alignment horizontal="center" vertical="top" wrapText="1"/>
    </xf>
    <xf numFmtId="4" fontId="42" fillId="12" borderId="35" xfId="0" applyNumberFormat="1" applyFont="1" applyFill="1" applyBorder="1" applyAlignment="1">
      <alignment vertical="top" wrapText="1"/>
    </xf>
    <xf numFmtId="0" fontId="43" fillId="0" borderId="41" xfId="0" applyFont="1" applyBorder="1" applyAlignment="1">
      <alignment vertical="top" wrapText="1"/>
    </xf>
    <xf numFmtId="0" fontId="43" fillId="0" borderId="34" xfId="0" applyFont="1" applyBorder="1" applyAlignment="1">
      <alignment vertical="top" wrapText="1"/>
    </xf>
    <xf numFmtId="0" fontId="14" fillId="16" borderId="49" xfId="0" applyFont="1" applyFill="1" applyBorder="1" applyAlignment="1">
      <alignment horizontal="center" vertical="center" wrapText="1"/>
    </xf>
    <xf numFmtId="0" fontId="0" fillId="16" borderId="49" xfId="0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top" wrapText="1"/>
    </xf>
    <xf numFmtId="0" fontId="1" fillId="0" borderId="1" xfId="0" applyFont="1" applyBorder="1" applyAlignment="1">
      <alignment horizontal="right"/>
    </xf>
    <xf numFmtId="0" fontId="1" fillId="0" borderId="1" xfId="0" applyFont="1" applyFill="1" applyBorder="1" applyAlignment="1">
      <alignment horizontal="righ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4" fillId="16" borderId="50" xfId="0" applyFont="1" applyFill="1" applyBorder="1" applyAlignment="1">
      <alignment horizontal="center" vertical="center" wrapText="1"/>
    </xf>
    <xf numFmtId="0" fontId="0" fillId="16" borderId="1" xfId="0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3" xfId="0" applyBorder="1" applyAlignment="1">
      <alignment horizontal="center"/>
    </xf>
    <xf numFmtId="0" fontId="0" fillId="7" borderId="8" xfId="0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1" fillId="12" borderId="42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44" fillId="0" borderId="0" xfId="0" applyFont="1" applyAlignment="1">
      <alignment horizontal="left"/>
    </xf>
    <xf numFmtId="0" fontId="1" fillId="7" borderId="2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26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26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26" xfId="0" applyFont="1" applyFill="1" applyBorder="1" applyAlignment="1">
      <alignment horizontal="center"/>
    </xf>
  </cellXfs>
  <cellStyles count="8">
    <cellStyle name="Hiperlink" xfId="1" builtinId="8"/>
    <cellStyle name="Moeda" xfId="2" builtinId="4"/>
    <cellStyle name="Moeda 2" xfId="4"/>
    <cellStyle name="Normal" xfId="0" builtinId="0"/>
    <cellStyle name="Normal 2" xfId="6"/>
    <cellStyle name="Normal 2 2" xfId="7"/>
    <cellStyle name="Porcentagem" xfId="3" builtinId="5"/>
    <cellStyle name="Vírgula 2" xfId="5"/>
  </cellStyles>
  <dxfs count="0"/>
  <tableStyles count="0" defaultTableStyle="TableStyleMedium2" defaultPivotStyle="PivotStyleLight16"/>
  <colors>
    <mruColors>
      <color rgb="FF0DFF6F"/>
      <color rgb="FF00FF00"/>
      <color rgb="FFFFFFCC"/>
      <color rgb="FFFDFFDD"/>
      <color rgb="FFFF4747"/>
      <color rgb="FFFF3300"/>
      <color rgb="FF009900"/>
      <color rgb="FF0000FF"/>
      <color rgb="FF008000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T29"/>
  <sheetViews>
    <sheetView topLeftCell="A7" workbookViewId="0">
      <selection activeCell="D13" sqref="D13"/>
    </sheetView>
  </sheetViews>
  <sheetFormatPr defaultRowHeight="15" x14ac:dyDescent="0.25"/>
  <cols>
    <col min="1" max="1" width="9.5703125" style="16" customWidth="1"/>
    <col min="2" max="2" width="28.28515625" customWidth="1"/>
    <col min="3" max="3" width="7.5703125" style="17" bestFit="1" customWidth="1"/>
    <col min="4" max="5" width="13.42578125" style="17" customWidth="1"/>
    <col min="6" max="6" width="14.7109375" style="17" customWidth="1"/>
    <col min="7" max="7" width="46.7109375" style="17" bestFit="1" customWidth="1"/>
    <col min="8" max="8" width="8.42578125" style="17" bestFit="1" customWidth="1"/>
    <col min="9" max="9" width="7" style="17" bestFit="1" customWidth="1"/>
    <col min="10" max="10" width="12.140625" customWidth="1"/>
    <col min="17" max="17" width="54.42578125" customWidth="1"/>
  </cols>
  <sheetData>
    <row r="1" spans="1:20" ht="18" thickBot="1" x14ac:dyDescent="0.35">
      <c r="A1" s="241" t="s">
        <v>0</v>
      </c>
      <c r="B1" s="242"/>
      <c r="C1" s="242"/>
      <c r="D1" s="242"/>
      <c r="E1" s="242"/>
      <c r="F1" s="242"/>
      <c r="G1" s="242"/>
      <c r="H1" s="242"/>
      <c r="I1" s="242"/>
      <c r="J1" s="243"/>
      <c r="K1" s="6"/>
      <c r="L1" s="6"/>
      <c r="M1" s="6"/>
      <c r="N1" s="6"/>
      <c r="O1" s="6"/>
      <c r="P1" s="6"/>
      <c r="Q1" s="6"/>
    </row>
    <row r="2" spans="1:20" ht="17.2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1"/>
      <c r="O2" s="5"/>
      <c r="P2" s="5"/>
    </row>
    <row r="3" spans="1:20" ht="17.25" x14ac:dyDescent="0.3">
      <c r="A3" s="6" t="s">
        <v>168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1"/>
      <c r="O3" s="5"/>
      <c r="P3" s="5"/>
    </row>
    <row r="4" spans="1:20" ht="17.25" x14ac:dyDescent="0.3">
      <c r="A4" s="6" t="s">
        <v>1</v>
      </c>
      <c r="B4" s="240" t="s">
        <v>2</v>
      </c>
      <c r="C4" s="240"/>
      <c r="D4" s="240"/>
      <c r="E4" s="240"/>
      <c r="F4" s="240"/>
      <c r="G4" s="240"/>
      <c r="H4" s="240"/>
      <c r="I4" s="240"/>
      <c r="J4" s="240"/>
      <c r="K4" s="14"/>
      <c r="L4" s="14"/>
      <c r="M4" s="14"/>
      <c r="N4" s="14"/>
      <c r="O4" s="14"/>
      <c r="P4" s="14"/>
      <c r="Q4" s="14"/>
    </row>
    <row r="5" spans="1:20" ht="17.25" x14ac:dyDescent="0.3">
      <c r="A5" s="6"/>
      <c r="B5" s="240"/>
      <c r="C5" s="240"/>
      <c r="D5" s="240"/>
      <c r="E5" s="240"/>
      <c r="F5" s="240"/>
      <c r="G5" s="240"/>
      <c r="H5" s="240"/>
      <c r="I5" s="240"/>
      <c r="J5" s="240"/>
      <c r="K5" s="14"/>
      <c r="L5" s="14"/>
      <c r="M5" s="14"/>
      <c r="N5" s="14"/>
      <c r="O5" s="14"/>
      <c r="P5" s="14"/>
      <c r="Q5" s="14"/>
    </row>
    <row r="6" spans="1:20" ht="17.25" x14ac:dyDescent="0.3">
      <c r="A6" s="5"/>
      <c r="B6" s="240"/>
      <c r="C6" s="240"/>
      <c r="D6" s="240"/>
      <c r="E6" s="240"/>
      <c r="F6" s="240"/>
      <c r="G6" s="240"/>
      <c r="H6" s="240"/>
      <c r="I6" s="240"/>
      <c r="J6" s="240"/>
      <c r="K6" s="14"/>
      <c r="L6" s="14"/>
      <c r="M6" s="14"/>
      <c r="N6" s="14"/>
      <c r="O6" s="14"/>
      <c r="P6" s="14"/>
      <c r="Q6" s="14"/>
    </row>
    <row r="7" spans="1:20" ht="17.25" x14ac:dyDescent="0.3">
      <c r="A7" s="5"/>
      <c r="B7" s="240"/>
      <c r="C7" s="240"/>
      <c r="D7" s="240"/>
      <c r="E7" s="240"/>
      <c r="F7" s="240"/>
      <c r="G7" s="240"/>
      <c r="H7" s="240"/>
      <c r="I7" s="240"/>
      <c r="J7" s="240"/>
      <c r="K7" s="19"/>
      <c r="L7" s="19"/>
      <c r="M7" s="19"/>
      <c r="N7" s="19"/>
      <c r="O7" s="19"/>
    </row>
    <row r="9" spans="1:20" ht="45" x14ac:dyDescent="0.25">
      <c r="A9" s="30" t="s">
        <v>3</v>
      </c>
      <c r="B9" s="30" t="s">
        <v>4</v>
      </c>
      <c r="C9" s="31" t="s">
        <v>5</v>
      </c>
      <c r="D9" s="30" t="s">
        <v>6</v>
      </c>
      <c r="E9" s="30" t="s">
        <v>7</v>
      </c>
      <c r="F9" s="30" t="s">
        <v>8</v>
      </c>
      <c r="G9" s="30" t="s">
        <v>9</v>
      </c>
      <c r="H9" s="30" t="s">
        <v>10</v>
      </c>
      <c r="I9" s="30" t="s">
        <v>11</v>
      </c>
      <c r="J9" s="30" t="s">
        <v>12</v>
      </c>
    </row>
    <row r="10" spans="1:20" ht="30" x14ac:dyDescent="0.25">
      <c r="A10" s="116">
        <v>1</v>
      </c>
      <c r="B10" s="117" t="s">
        <v>13</v>
      </c>
      <c r="C10" s="244">
        <v>27502</v>
      </c>
      <c r="D10" s="116" t="s">
        <v>14</v>
      </c>
      <c r="E10" s="116" t="s">
        <v>15</v>
      </c>
      <c r="F10" s="116" t="s">
        <v>16</v>
      </c>
      <c r="G10" s="118" t="s">
        <v>17</v>
      </c>
      <c r="H10" s="116" t="s">
        <v>18</v>
      </c>
      <c r="I10" s="119">
        <v>284</v>
      </c>
      <c r="J10" s="120">
        <v>36</v>
      </c>
    </row>
    <row r="11" spans="1:20" ht="30" x14ac:dyDescent="0.25">
      <c r="A11" s="116">
        <v>2</v>
      </c>
      <c r="B11" s="117" t="s">
        <v>19</v>
      </c>
      <c r="C11" s="245"/>
      <c r="D11" s="116" t="s">
        <v>20</v>
      </c>
      <c r="E11" s="116" t="s">
        <v>21</v>
      </c>
      <c r="F11" s="116" t="s">
        <v>16</v>
      </c>
      <c r="G11" s="118" t="s">
        <v>22</v>
      </c>
      <c r="H11" s="116" t="s">
        <v>18</v>
      </c>
      <c r="I11" s="119">
        <v>236</v>
      </c>
      <c r="J11" s="120">
        <v>36</v>
      </c>
    </row>
    <row r="12" spans="1:20" ht="30" x14ac:dyDescent="0.25">
      <c r="A12" s="116">
        <v>3</v>
      </c>
      <c r="B12" s="117" t="s">
        <v>23</v>
      </c>
      <c r="C12" s="245"/>
      <c r="D12" s="116" t="s">
        <v>24</v>
      </c>
      <c r="E12" s="116" t="s">
        <v>25</v>
      </c>
      <c r="F12" s="116" t="s">
        <v>26</v>
      </c>
      <c r="G12" s="121" t="s">
        <v>27</v>
      </c>
      <c r="H12" s="116" t="s">
        <v>28</v>
      </c>
      <c r="I12" s="119">
        <v>10</v>
      </c>
      <c r="J12" s="120">
        <v>36</v>
      </c>
      <c r="P12" s="27"/>
      <c r="Q12" s="28"/>
      <c r="R12" s="27"/>
      <c r="S12" s="27"/>
      <c r="T12" s="27"/>
    </row>
    <row r="13" spans="1:20" ht="30" x14ac:dyDescent="0.25">
      <c r="A13" s="116">
        <v>4</v>
      </c>
      <c r="B13" s="117" t="s">
        <v>29</v>
      </c>
      <c r="C13" s="245"/>
      <c r="D13" s="116" t="s">
        <v>30</v>
      </c>
      <c r="E13" s="116" t="s">
        <v>31</v>
      </c>
      <c r="F13" s="116" t="s">
        <v>26</v>
      </c>
      <c r="G13" s="121" t="s">
        <v>32</v>
      </c>
      <c r="H13" s="116" t="s">
        <v>18</v>
      </c>
      <c r="I13" s="119">
        <v>3</v>
      </c>
      <c r="J13" s="120">
        <v>36</v>
      </c>
      <c r="P13" s="27"/>
      <c r="Q13" s="28"/>
      <c r="R13" s="27"/>
      <c r="S13" s="27"/>
      <c r="T13" s="27"/>
    </row>
    <row r="14" spans="1:20" ht="30" x14ac:dyDescent="0.25">
      <c r="A14" s="116">
        <v>5</v>
      </c>
      <c r="B14" s="117" t="s">
        <v>33</v>
      </c>
      <c r="C14" s="245"/>
      <c r="D14" s="116" t="s">
        <v>34</v>
      </c>
      <c r="E14" s="116" t="s">
        <v>35</v>
      </c>
      <c r="F14" s="116" t="s">
        <v>26</v>
      </c>
      <c r="G14" s="121" t="s">
        <v>36</v>
      </c>
      <c r="H14" s="116" t="s">
        <v>28</v>
      </c>
      <c r="I14" s="119">
        <v>5</v>
      </c>
      <c r="J14" s="120">
        <v>36</v>
      </c>
      <c r="P14" s="27"/>
      <c r="Q14" s="28"/>
      <c r="R14" s="27"/>
      <c r="S14" s="27"/>
      <c r="T14" s="27"/>
    </row>
    <row r="15" spans="1:20" ht="30" x14ac:dyDescent="0.25">
      <c r="A15" s="126" t="s">
        <v>119</v>
      </c>
      <c r="B15" s="122" t="s">
        <v>37</v>
      </c>
      <c r="C15" s="245"/>
      <c r="D15" s="126" t="s">
        <v>38</v>
      </c>
      <c r="E15" s="126" t="s">
        <v>39</v>
      </c>
      <c r="F15" s="126" t="s">
        <v>40</v>
      </c>
      <c r="G15" s="127" t="s">
        <v>41</v>
      </c>
      <c r="H15" s="126" t="s">
        <v>28</v>
      </c>
      <c r="I15" s="128">
        <v>1485</v>
      </c>
      <c r="J15" s="129">
        <v>36</v>
      </c>
      <c r="P15" s="27"/>
      <c r="Q15" s="28"/>
      <c r="R15" s="27"/>
      <c r="S15" s="27"/>
      <c r="T15" s="27"/>
    </row>
    <row r="16" spans="1:20" ht="30" x14ac:dyDescent="0.25">
      <c r="A16" s="106" t="s">
        <v>120</v>
      </c>
      <c r="B16" s="107" t="s">
        <v>126</v>
      </c>
      <c r="C16" s="245"/>
      <c r="D16" s="106" t="s">
        <v>129</v>
      </c>
      <c r="E16" s="106" t="s">
        <v>140</v>
      </c>
      <c r="F16" s="106" t="s">
        <v>40</v>
      </c>
      <c r="G16" s="108" t="s">
        <v>127</v>
      </c>
      <c r="H16" s="106" t="s">
        <v>28</v>
      </c>
      <c r="I16" s="109">
        <v>1300</v>
      </c>
      <c r="J16" s="110">
        <v>36</v>
      </c>
      <c r="P16" s="27"/>
      <c r="Q16" s="28"/>
      <c r="R16" s="27"/>
      <c r="S16" s="27"/>
      <c r="T16" s="27"/>
    </row>
    <row r="17" spans="1:20" ht="30" x14ac:dyDescent="0.25">
      <c r="A17" s="106" t="s">
        <v>121</v>
      </c>
      <c r="B17" s="107" t="s">
        <v>125</v>
      </c>
      <c r="C17" s="245"/>
      <c r="D17" s="106" t="s">
        <v>132</v>
      </c>
      <c r="E17" s="106" t="s">
        <v>141</v>
      </c>
      <c r="F17" s="106" t="s">
        <v>40</v>
      </c>
      <c r="G17" s="108" t="s">
        <v>130</v>
      </c>
      <c r="H17" s="106" t="s">
        <v>28</v>
      </c>
      <c r="I17" s="109">
        <v>1300</v>
      </c>
      <c r="J17" s="110">
        <v>36</v>
      </c>
      <c r="P17" s="27"/>
      <c r="Q17" s="28"/>
      <c r="R17" s="27"/>
      <c r="S17" s="27"/>
      <c r="T17" s="27"/>
    </row>
    <row r="18" spans="1:20" ht="30" x14ac:dyDescent="0.25">
      <c r="A18" s="126" t="s">
        <v>122</v>
      </c>
      <c r="B18" s="122" t="s">
        <v>42</v>
      </c>
      <c r="C18" s="245"/>
      <c r="D18" s="126" t="s">
        <v>43</v>
      </c>
      <c r="E18" s="126" t="s">
        <v>44</v>
      </c>
      <c r="F18" s="126" t="s">
        <v>40</v>
      </c>
      <c r="G18" s="127" t="s">
        <v>45</v>
      </c>
      <c r="H18" s="126" t="s">
        <v>28</v>
      </c>
      <c r="I18" s="128">
        <v>15</v>
      </c>
      <c r="J18" s="129">
        <v>36</v>
      </c>
    </row>
    <row r="19" spans="1:20" ht="30" x14ac:dyDescent="0.25">
      <c r="A19" s="106" t="s">
        <v>123</v>
      </c>
      <c r="B19" s="107" t="s">
        <v>138</v>
      </c>
      <c r="C19" s="245"/>
      <c r="D19" s="106" t="s">
        <v>131</v>
      </c>
      <c r="E19" s="106" t="s">
        <v>139</v>
      </c>
      <c r="F19" s="106" t="s">
        <v>40</v>
      </c>
      <c r="G19" s="108" t="s">
        <v>128</v>
      </c>
      <c r="H19" s="106" t="s">
        <v>28</v>
      </c>
      <c r="I19" s="109">
        <v>30</v>
      </c>
      <c r="J19" s="110">
        <v>36</v>
      </c>
    </row>
    <row r="20" spans="1:20" ht="30" x14ac:dyDescent="0.25">
      <c r="A20" s="106" t="s">
        <v>124</v>
      </c>
      <c r="B20" s="107" t="s">
        <v>125</v>
      </c>
      <c r="C20" s="245"/>
      <c r="D20" s="106" t="s">
        <v>132</v>
      </c>
      <c r="E20" s="106" t="s">
        <v>141</v>
      </c>
      <c r="F20" s="106" t="s">
        <v>40</v>
      </c>
      <c r="G20" s="108" t="s">
        <v>130</v>
      </c>
      <c r="H20" s="106" t="s">
        <v>28</v>
      </c>
      <c r="I20" s="109">
        <v>30</v>
      </c>
      <c r="J20" s="110">
        <v>36</v>
      </c>
    </row>
    <row r="21" spans="1:20" ht="30" x14ac:dyDescent="0.25">
      <c r="A21" s="116">
        <v>8</v>
      </c>
      <c r="B21" s="117" t="s">
        <v>46</v>
      </c>
      <c r="C21" s="245"/>
      <c r="D21" s="116" t="s">
        <v>47</v>
      </c>
      <c r="E21" s="116" t="s">
        <v>48</v>
      </c>
      <c r="F21" s="116" t="s">
        <v>49</v>
      </c>
      <c r="G21" s="118" t="s">
        <v>50</v>
      </c>
      <c r="H21" s="116" t="s">
        <v>18</v>
      </c>
      <c r="I21" s="119">
        <v>20</v>
      </c>
      <c r="J21" s="120">
        <v>36</v>
      </c>
    </row>
    <row r="22" spans="1:20" ht="30" x14ac:dyDescent="0.25">
      <c r="A22" s="111">
        <v>9</v>
      </c>
      <c r="B22" s="115" t="s">
        <v>51</v>
      </c>
      <c r="C22" s="245"/>
      <c r="D22" s="111" t="s">
        <v>52</v>
      </c>
      <c r="E22" s="111" t="s">
        <v>53</v>
      </c>
      <c r="F22" s="111" t="s">
        <v>49</v>
      </c>
      <c r="G22" s="112" t="s">
        <v>107</v>
      </c>
      <c r="H22" s="111" t="s">
        <v>28</v>
      </c>
      <c r="I22" s="113">
        <v>15</v>
      </c>
      <c r="J22" s="114">
        <v>36</v>
      </c>
    </row>
    <row r="23" spans="1:20" ht="45" x14ac:dyDescent="0.25">
      <c r="A23" s="111">
        <v>10</v>
      </c>
      <c r="B23" s="115" t="s">
        <v>192</v>
      </c>
      <c r="C23" s="245"/>
      <c r="D23" s="111" t="s">
        <v>193</v>
      </c>
      <c r="E23" s="111" t="s">
        <v>194</v>
      </c>
      <c r="F23" s="111" t="s">
        <v>49</v>
      </c>
      <c r="G23" s="112" t="s">
        <v>195</v>
      </c>
      <c r="H23" s="111" t="s">
        <v>28</v>
      </c>
      <c r="I23" s="113">
        <v>5</v>
      </c>
      <c r="J23" s="114">
        <v>36</v>
      </c>
    </row>
    <row r="24" spans="1:20" ht="30" x14ac:dyDescent="0.25">
      <c r="A24" s="111">
        <v>11</v>
      </c>
      <c r="B24" s="115" t="s">
        <v>183</v>
      </c>
      <c r="C24" s="246"/>
      <c r="D24" s="111" t="s">
        <v>179</v>
      </c>
      <c r="E24" s="111" t="s">
        <v>178</v>
      </c>
      <c r="F24" s="111" t="s">
        <v>49</v>
      </c>
      <c r="G24" s="112" t="s">
        <v>177</v>
      </c>
      <c r="H24" s="111" t="s">
        <v>28</v>
      </c>
      <c r="I24" s="113">
        <v>2</v>
      </c>
      <c r="J24" s="114">
        <v>36</v>
      </c>
    </row>
    <row r="25" spans="1:20" ht="15.75" x14ac:dyDescent="0.25">
      <c r="A25" s="29"/>
      <c r="B25" s="29"/>
      <c r="C25" s="29"/>
      <c r="D25" s="29"/>
      <c r="E25" s="29"/>
      <c r="F25" s="29"/>
      <c r="G25" s="29"/>
      <c r="H25" s="29"/>
      <c r="I25" s="29"/>
    </row>
    <row r="26" spans="1:20" ht="15.75" x14ac:dyDescent="0.25">
      <c r="A26" s="29"/>
      <c r="B26" s="29"/>
      <c r="C26" s="29"/>
      <c r="D26" s="29"/>
      <c r="E26" s="29"/>
      <c r="F26" s="29"/>
      <c r="G26" s="29"/>
      <c r="H26" s="29"/>
      <c r="I26" s="29"/>
    </row>
    <row r="28" spans="1:20" ht="15.75" x14ac:dyDescent="0.25">
      <c r="A28" s="29"/>
      <c r="B28" s="29"/>
      <c r="C28" s="29"/>
      <c r="D28" s="29"/>
      <c r="E28" s="29"/>
      <c r="F28" s="29"/>
      <c r="G28" s="29"/>
      <c r="H28" s="29"/>
      <c r="I28" s="29"/>
    </row>
    <row r="29" spans="1:20" ht="15.75" x14ac:dyDescent="0.25">
      <c r="A29" s="29"/>
      <c r="B29" s="29"/>
      <c r="C29" s="29"/>
      <c r="D29" s="29"/>
      <c r="E29" s="29"/>
      <c r="F29" s="29"/>
      <c r="G29" s="29"/>
      <c r="H29" s="29"/>
      <c r="I29" s="29"/>
    </row>
  </sheetData>
  <mergeCells count="3">
    <mergeCell ref="B4:J7"/>
    <mergeCell ref="A1:J1"/>
    <mergeCell ref="C10:C2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U25"/>
  <sheetViews>
    <sheetView workbookViewId="0">
      <selection activeCell="K19" sqref="K19"/>
    </sheetView>
  </sheetViews>
  <sheetFormatPr defaultRowHeight="15" x14ac:dyDescent="0.25"/>
  <cols>
    <col min="1" max="1" width="9.5703125" style="16" customWidth="1"/>
    <col min="2" max="2" width="28.28515625" customWidth="1"/>
    <col min="3" max="4" width="13.42578125" style="105" customWidth="1"/>
    <col min="5" max="5" width="14.7109375" style="105" customWidth="1"/>
    <col min="6" max="6" width="46.7109375" style="105" bestFit="1" customWidth="1"/>
    <col min="7" max="7" width="8.42578125" style="105" bestFit="1" customWidth="1"/>
    <col min="8" max="8" width="7" style="105" bestFit="1" customWidth="1"/>
    <col min="9" max="9" width="7" style="105" customWidth="1"/>
    <col min="10" max="10" width="12.7109375" style="105" bestFit="1" customWidth="1"/>
    <col min="11" max="11" width="13.85546875" bestFit="1" customWidth="1"/>
    <col min="18" max="18" width="54.42578125" customWidth="1"/>
  </cols>
  <sheetData>
    <row r="1" spans="1:21" ht="18" thickBot="1" x14ac:dyDescent="0.35">
      <c r="A1" s="241" t="s">
        <v>0</v>
      </c>
      <c r="B1" s="242"/>
      <c r="C1" s="242"/>
      <c r="D1" s="242"/>
      <c r="E1" s="242"/>
      <c r="F1" s="242"/>
      <c r="G1" s="242"/>
      <c r="H1" s="242"/>
      <c r="I1" s="242"/>
      <c r="J1" s="242"/>
      <c r="K1" s="243"/>
      <c r="L1" s="6"/>
      <c r="M1" s="6"/>
      <c r="N1" s="6"/>
      <c r="O1" s="6"/>
      <c r="P1" s="6"/>
      <c r="Q1" s="6"/>
      <c r="R1" s="6"/>
    </row>
    <row r="2" spans="1:21" ht="17.2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1"/>
      <c r="P2" s="5"/>
      <c r="Q2" s="5"/>
    </row>
    <row r="3" spans="1:21" ht="17.25" x14ac:dyDescent="0.3">
      <c r="A3" s="6" t="s">
        <v>149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1"/>
      <c r="P3" s="5"/>
      <c r="Q3" s="5"/>
    </row>
    <row r="4" spans="1:21" ht="17.25" x14ac:dyDescent="0.3">
      <c r="A4" s="6" t="s">
        <v>1</v>
      </c>
      <c r="B4" s="240" t="s">
        <v>2</v>
      </c>
      <c r="C4" s="240"/>
      <c r="D4" s="240"/>
      <c r="E4" s="240"/>
      <c r="F4" s="240"/>
      <c r="G4" s="240"/>
      <c r="H4" s="240"/>
      <c r="I4" s="240"/>
      <c r="J4" s="240"/>
      <c r="K4" s="240"/>
      <c r="L4" s="14"/>
      <c r="M4" s="14"/>
      <c r="N4" s="14"/>
      <c r="O4" s="14"/>
      <c r="P4" s="14"/>
      <c r="Q4" s="14"/>
      <c r="R4" s="14"/>
    </row>
    <row r="5" spans="1:21" ht="17.25" x14ac:dyDescent="0.3">
      <c r="A5" s="6"/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14"/>
      <c r="M5" s="14"/>
      <c r="N5" s="14"/>
      <c r="O5" s="14"/>
      <c r="P5" s="14"/>
      <c r="Q5" s="14"/>
      <c r="R5" s="14"/>
    </row>
    <row r="6" spans="1:21" ht="17.25" x14ac:dyDescent="0.3">
      <c r="A6" s="5"/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14"/>
      <c r="M6" s="14"/>
      <c r="N6" s="14"/>
      <c r="O6" s="14"/>
      <c r="P6" s="14"/>
      <c r="Q6" s="14"/>
      <c r="R6" s="14"/>
    </row>
    <row r="7" spans="1:21" ht="17.25" x14ac:dyDescent="0.3">
      <c r="A7" s="5"/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171"/>
      <c r="M7" s="171"/>
      <c r="N7" s="171"/>
      <c r="O7" s="171"/>
      <c r="P7" s="171"/>
    </row>
    <row r="9" spans="1:21" ht="60" x14ac:dyDescent="0.25">
      <c r="A9" s="30" t="s">
        <v>3</v>
      </c>
      <c r="B9" s="30" t="s">
        <v>4</v>
      </c>
      <c r="C9" s="30" t="s">
        <v>6</v>
      </c>
      <c r="D9" s="30" t="s">
        <v>7</v>
      </c>
      <c r="E9" s="30" t="s">
        <v>8</v>
      </c>
      <c r="F9" s="30" t="s">
        <v>9</v>
      </c>
      <c r="G9" s="30" t="s">
        <v>10</v>
      </c>
      <c r="H9" s="30" t="s">
        <v>11</v>
      </c>
      <c r="I9" s="30" t="s">
        <v>12</v>
      </c>
      <c r="J9" s="30" t="s">
        <v>146</v>
      </c>
      <c r="K9" s="30" t="s">
        <v>147</v>
      </c>
    </row>
    <row r="10" spans="1:21" ht="30" x14ac:dyDescent="0.25">
      <c r="A10" s="168">
        <v>4</v>
      </c>
      <c r="B10" s="172" t="s">
        <v>13</v>
      </c>
      <c r="C10" s="168" t="s">
        <v>14</v>
      </c>
      <c r="D10" s="168" t="s">
        <v>15</v>
      </c>
      <c r="E10" s="168" t="s">
        <v>16</v>
      </c>
      <c r="F10" s="173" t="s">
        <v>17</v>
      </c>
      <c r="G10" s="168" t="s">
        <v>18</v>
      </c>
      <c r="H10" s="174">
        <f>'Mapa Comparativo'!G12</f>
        <v>284</v>
      </c>
      <c r="I10" s="175">
        <v>36</v>
      </c>
      <c r="J10" s="176">
        <f>'Mapa Comparativo'!M12</f>
        <v>111282.55999999998</v>
      </c>
      <c r="K10" s="176">
        <f>'Mapa Comparativo'!N12</f>
        <v>333847.67999999993</v>
      </c>
    </row>
    <row r="11" spans="1:21" ht="30" x14ac:dyDescent="0.25">
      <c r="A11" s="168">
        <v>5</v>
      </c>
      <c r="B11" s="172" t="s">
        <v>19</v>
      </c>
      <c r="C11" s="168" t="s">
        <v>20</v>
      </c>
      <c r="D11" s="168" t="s">
        <v>21</v>
      </c>
      <c r="E11" s="168" t="s">
        <v>16</v>
      </c>
      <c r="F11" s="173" t="s">
        <v>22</v>
      </c>
      <c r="G11" s="168" t="s">
        <v>18</v>
      </c>
      <c r="H11" s="174">
        <f>'Mapa Comparativo'!G13</f>
        <v>236</v>
      </c>
      <c r="I11" s="175">
        <v>36</v>
      </c>
      <c r="J11" s="176">
        <f>'Mapa Comparativo'!M13</f>
        <v>378253.72</v>
      </c>
      <c r="K11" s="176">
        <f>'Mapa Comparativo'!N13</f>
        <v>1134761.1599999999</v>
      </c>
    </row>
    <row r="12" spans="1:21" ht="30" x14ac:dyDescent="0.25">
      <c r="A12" s="168">
        <v>6</v>
      </c>
      <c r="B12" s="172" t="s">
        <v>23</v>
      </c>
      <c r="C12" s="168" t="s">
        <v>24</v>
      </c>
      <c r="D12" s="168" t="s">
        <v>25</v>
      </c>
      <c r="E12" s="168" t="s">
        <v>26</v>
      </c>
      <c r="F12" s="177" t="s">
        <v>27</v>
      </c>
      <c r="G12" s="168" t="s">
        <v>28</v>
      </c>
      <c r="H12" s="174">
        <f>'Mapa Comparativo'!G14</f>
        <v>10</v>
      </c>
      <c r="I12" s="175">
        <v>36</v>
      </c>
      <c r="J12" s="176">
        <f>'Mapa Comparativo'!M14</f>
        <v>14362.800000000001</v>
      </c>
      <c r="K12" s="176">
        <f>'Mapa Comparativo'!N14</f>
        <v>43088.4</v>
      </c>
      <c r="Q12" s="27"/>
      <c r="R12" s="28"/>
      <c r="S12" s="27"/>
      <c r="T12" s="27"/>
      <c r="U12" s="27"/>
    </row>
    <row r="13" spans="1:21" ht="30" x14ac:dyDescent="0.25">
      <c r="A13" s="168">
        <v>7</v>
      </c>
      <c r="B13" s="172" t="s">
        <v>29</v>
      </c>
      <c r="C13" s="168" t="s">
        <v>30</v>
      </c>
      <c r="D13" s="168" t="s">
        <v>31</v>
      </c>
      <c r="E13" s="168" t="s">
        <v>26</v>
      </c>
      <c r="F13" s="177" t="s">
        <v>32</v>
      </c>
      <c r="G13" s="168" t="s">
        <v>18</v>
      </c>
      <c r="H13" s="174">
        <f>'Mapa Comparativo'!G15</f>
        <v>3</v>
      </c>
      <c r="I13" s="175">
        <v>36</v>
      </c>
      <c r="J13" s="176">
        <f>'Mapa Comparativo'!M15</f>
        <v>38587.5</v>
      </c>
      <c r="K13" s="176">
        <f>'Mapa Comparativo'!N15</f>
        <v>115762.5</v>
      </c>
      <c r="Q13" s="27"/>
      <c r="R13" s="28"/>
      <c r="S13" s="27"/>
      <c r="T13" s="27"/>
      <c r="U13" s="27"/>
    </row>
    <row r="14" spans="1:21" ht="30" x14ac:dyDescent="0.25">
      <c r="A14" s="168">
        <v>8</v>
      </c>
      <c r="B14" s="172" t="s">
        <v>33</v>
      </c>
      <c r="C14" s="168" t="s">
        <v>34</v>
      </c>
      <c r="D14" s="168" t="s">
        <v>35</v>
      </c>
      <c r="E14" s="168" t="s">
        <v>26</v>
      </c>
      <c r="F14" s="177" t="s">
        <v>36</v>
      </c>
      <c r="G14" s="168" t="s">
        <v>28</v>
      </c>
      <c r="H14" s="174">
        <f>'Mapa Comparativo'!G16</f>
        <v>5</v>
      </c>
      <c r="I14" s="175">
        <v>36</v>
      </c>
      <c r="J14" s="176">
        <f>'Mapa Comparativo'!M16</f>
        <v>3591</v>
      </c>
      <c r="K14" s="176">
        <f>'Mapa Comparativo'!N16</f>
        <v>10773</v>
      </c>
      <c r="Q14" s="27"/>
      <c r="R14" s="28"/>
      <c r="S14" s="27"/>
      <c r="T14" s="27"/>
      <c r="U14" s="27"/>
    </row>
    <row r="15" spans="1:21" ht="30" x14ac:dyDescent="0.25">
      <c r="A15" s="168">
        <v>9</v>
      </c>
      <c r="B15" s="172" t="s">
        <v>46</v>
      </c>
      <c r="C15" s="168" t="s">
        <v>47</v>
      </c>
      <c r="D15" s="168" t="s">
        <v>48</v>
      </c>
      <c r="E15" s="168" t="s">
        <v>49</v>
      </c>
      <c r="F15" s="173" t="s">
        <v>50</v>
      </c>
      <c r="G15" s="168" t="s">
        <v>18</v>
      </c>
      <c r="H15" s="174">
        <f>'Mapa Comparativo'!G23</f>
        <v>20</v>
      </c>
      <c r="I15" s="175">
        <v>36</v>
      </c>
      <c r="J15" s="176">
        <f>'Mapa Comparativo'!M23</f>
        <v>485457.60000000003</v>
      </c>
      <c r="K15" s="176">
        <f>'Mapa Comparativo'!N23</f>
        <v>1456372.8</v>
      </c>
    </row>
    <row r="16" spans="1:21" ht="30" x14ac:dyDescent="0.25">
      <c r="A16" s="168">
        <v>10</v>
      </c>
      <c r="B16" s="172" t="s">
        <v>51</v>
      </c>
      <c r="C16" s="168" t="s">
        <v>52</v>
      </c>
      <c r="D16" s="168" t="s">
        <v>53</v>
      </c>
      <c r="E16" s="168" t="s">
        <v>49</v>
      </c>
      <c r="F16" s="173" t="s">
        <v>107</v>
      </c>
      <c r="G16" s="168" t="s">
        <v>28</v>
      </c>
      <c r="H16" s="174">
        <f>'Mapa Comparativo'!G24</f>
        <v>15</v>
      </c>
      <c r="I16" s="175">
        <v>36</v>
      </c>
      <c r="J16" s="176">
        <f>'Mapa Comparativo'!M24</f>
        <v>14358.599999999999</v>
      </c>
      <c r="K16" s="176">
        <f>'Mapa Comparativo'!N24</f>
        <v>43075.799999999996</v>
      </c>
    </row>
    <row r="17" spans="1:11" ht="45" x14ac:dyDescent="0.25">
      <c r="A17" s="168">
        <v>11</v>
      </c>
      <c r="B17" s="172" t="s">
        <v>192</v>
      </c>
      <c r="C17" s="168" t="s">
        <v>180</v>
      </c>
      <c r="D17" s="168" t="s">
        <v>181</v>
      </c>
      <c r="E17" s="168" t="s">
        <v>49</v>
      </c>
      <c r="F17" s="173" t="s">
        <v>176</v>
      </c>
      <c r="G17" s="168" t="s">
        <v>28</v>
      </c>
      <c r="H17" s="174">
        <f>'Mapa Comparativo'!G25</f>
        <v>5</v>
      </c>
      <c r="I17" s="175">
        <v>36</v>
      </c>
      <c r="J17" s="176">
        <f>'Mapa Comparativo'!M25</f>
        <v>11261.4</v>
      </c>
      <c r="K17" s="176">
        <f>'Mapa Comparativo'!N25</f>
        <v>33784.199999999997</v>
      </c>
    </row>
    <row r="18" spans="1:11" ht="30" x14ac:dyDescent="0.25">
      <c r="A18" s="168">
        <v>12</v>
      </c>
      <c r="B18" s="172" t="s">
        <v>183</v>
      </c>
      <c r="C18" s="168" t="s">
        <v>179</v>
      </c>
      <c r="D18" s="168" t="s">
        <v>178</v>
      </c>
      <c r="E18" s="168" t="s">
        <v>49</v>
      </c>
      <c r="F18" s="173" t="s">
        <v>177</v>
      </c>
      <c r="G18" s="168" t="s">
        <v>28</v>
      </c>
      <c r="H18" s="174">
        <f>'Mapa Comparativo'!G26</f>
        <v>2</v>
      </c>
      <c r="I18" s="175">
        <v>36</v>
      </c>
      <c r="J18" s="176">
        <f>'Mapa Comparativo'!M26</f>
        <v>4504.5600000000004</v>
      </c>
      <c r="K18" s="176">
        <f>'Mapa Comparativo'!N26</f>
        <v>13513.68</v>
      </c>
    </row>
    <row r="19" spans="1:11" ht="15.75" x14ac:dyDescent="0.25">
      <c r="A19" s="144"/>
      <c r="B19" s="145"/>
      <c r="C19" s="145"/>
      <c r="D19" s="145"/>
      <c r="E19" s="145"/>
      <c r="F19" s="145"/>
      <c r="G19" s="145"/>
      <c r="H19" s="282" t="s">
        <v>148</v>
      </c>
      <c r="I19" s="283"/>
      <c r="J19" s="143">
        <f>SUM(J10:J18)</f>
        <v>1061659.74</v>
      </c>
      <c r="K19" s="143">
        <f>SUM(K10:K18)</f>
        <v>3184979.22</v>
      </c>
    </row>
    <row r="20" spans="1:11" ht="15.75" x14ac:dyDescent="0.25">
      <c r="A20" s="88" t="s">
        <v>62</v>
      </c>
      <c r="B20" s="10"/>
      <c r="C20" s="10"/>
      <c r="D20" s="10"/>
      <c r="E20" s="10"/>
      <c r="F20" s="11"/>
      <c r="G20" s="11"/>
      <c r="H20" s="11"/>
      <c r="I20" s="11"/>
      <c r="J20" s="11"/>
    </row>
    <row r="21" spans="1:11" ht="15.75" x14ac:dyDescent="0.25">
      <c r="A21" s="12"/>
      <c r="B21" s="10"/>
      <c r="C21" s="10"/>
      <c r="D21" s="10"/>
      <c r="E21" s="10"/>
      <c r="F21" s="11"/>
      <c r="G21" s="11"/>
      <c r="H21" s="11"/>
      <c r="I21" s="11"/>
      <c r="J21" s="11"/>
    </row>
    <row r="22" spans="1:11" ht="15.75" x14ac:dyDescent="0.25">
      <c r="A22" s="36" t="s">
        <v>166</v>
      </c>
      <c r="B22" s="10"/>
      <c r="C22" s="10"/>
      <c r="D22" s="10"/>
      <c r="E22" s="10"/>
      <c r="F22" s="11"/>
      <c r="G22"/>
      <c r="H22"/>
      <c r="I22"/>
      <c r="J22"/>
    </row>
    <row r="23" spans="1:11" ht="15.75" x14ac:dyDescent="0.25">
      <c r="A23"/>
      <c r="B23" s="150"/>
      <c r="C23"/>
      <c r="D23"/>
      <c r="E23"/>
      <c r="F23"/>
      <c r="G23" s="190"/>
      <c r="H23" s="190"/>
      <c r="I23" s="190"/>
      <c r="J23" s="190"/>
    </row>
    <row r="24" spans="1:11" ht="14.45" customHeight="1" x14ac:dyDescent="0.25">
      <c r="A24" s="190" t="s">
        <v>167</v>
      </c>
      <c r="B24" s="190"/>
      <c r="C24" s="190"/>
      <c r="D24" s="190"/>
      <c r="E24" s="190"/>
      <c r="F24" s="190"/>
      <c r="G24" s="190"/>
      <c r="H24" s="190"/>
      <c r="I24" s="190"/>
      <c r="J24" s="190"/>
    </row>
    <row r="25" spans="1:11" ht="14.45" customHeight="1" x14ac:dyDescent="0.25">
      <c r="A25" s="190"/>
      <c r="B25" s="190"/>
      <c r="C25" s="190"/>
      <c r="D25" s="190"/>
      <c r="E25" s="190"/>
      <c r="F25" s="190"/>
    </row>
  </sheetData>
  <mergeCells count="3">
    <mergeCell ref="A1:K1"/>
    <mergeCell ref="B4:K7"/>
    <mergeCell ref="H19:I1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R5"/>
  <sheetViews>
    <sheetView workbookViewId="0"/>
  </sheetViews>
  <sheetFormatPr defaultRowHeight="15" x14ac:dyDescent="0.25"/>
  <cols>
    <col min="1" max="1" width="4.7109375" style="16" customWidth="1"/>
    <col min="2" max="2" width="24.85546875" customWidth="1"/>
    <col min="3" max="3" width="6" style="105" bestFit="1" customWidth="1"/>
    <col min="4" max="4" width="8.42578125" style="105" bestFit="1" customWidth="1"/>
    <col min="5" max="5" width="25.7109375" style="105" customWidth="1"/>
    <col min="6" max="6" width="11" style="105" customWidth="1"/>
    <col min="7" max="8" width="6.7109375" style="105" bestFit="1" customWidth="1"/>
    <col min="15" max="15" width="54.42578125" customWidth="1"/>
  </cols>
  <sheetData>
    <row r="1" spans="1:18" ht="17.25" x14ac:dyDescent="0.3">
      <c r="A1" s="193" t="s">
        <v>188</v>
      </c>
      <c r="B1" s="194"/>
      <c r="C1" s="194"/>
      <c r="D1" s="194"/>
      <c r="E1" s="194"/>
      <c r="F1" s="194"/>
      <c r="G1" s="194"/>
      <c r="H1" s="195"/>
      <c r="I1" s="171"/>
      <c r="J1" s="171"/>
      <c r="K1" s="171"/>
      <c r="L1" s="171"/>
      <c r="M1" s="171"/>
    </row>
    <row r="2" spans="1:18" ht="60" x14ac:dyDescent="0.25">
      <c r="A2" s="30" t="s">
        <v>3</v>
      </c>
      <c r="B2" s="30" t="s">
        <v>201</v>
      </c>
      <c r="C2" s="30" t="s">
        <v>6</v>
      </c>
      <c r="D2" s="30" t="s">
        <v>191</v>
      </c>
      <c r="E2" s="30" t="s">
        <v>9</v>
      </c>
      <c r="F2" s="30" t="s">
        <v>199</v>
      </c>
      <c r="G2" s="30" t="s">
        <v>202</v>
      </c>
      <c r="H2" s="30" t="s">
        <v>187</v>
      </c>
    </row>
    <row r="3" spans="1:18" ht="30" x14ac:dyDescent="0.25">
      <c r="A3" s="168">
        <v>1</v>
      </c>
      <c r="B3" s="172" t="s">
        <v>126</v>
      </c>
      <c r="C3" s="168" t="s">
        <v>129</v>
      </c>
      <c r="D3" s="168" t="s">
        <v>140</v>
      </c>
      <c r="E3" s="177" t="s">
        <v>127</v>
      </c>
      <c r="F3" s="168" t="s">
        <v>200</v>
      </c>
      <c r="G3" s="174">
        <f>'Mapa Comparativo'!G18</f>
        <v>1300</v>
      </c>
      <c r="H3" s="175">
        <v>36</v>
      </c>
      <c r="N3" s="27"/>
      <c r="O3" s="28"/>
      <c r="P3" s="27"/>
      <c r="Q3" s="27"/>
      <c r="R3" s="27"/>
    </row>
    <row r="4" spans="1:18" ht="30" x14ac:dyDescent="0.25">
      <c r="A4" s="168">
        <v>2</v>
      </c>
      <c r="B4" s="172" t="s">
        <v>138</v>
      </c>
      <c r="C4" s="168" t="s">
        <v>131</v>
      </c>
      <c r="D4" s="168" t="s">
        <v>139</v>
      </c>
      <c r="E4" s="177" t="s">
        <v>128</v>
      </c>
      <c r="F4" s="168" t="s">
        <v>200</v>
      </c>
      <c r="G4" s="174">
        <f>'Mapa Comparativo'!G21</f>
        <v>30</v>
      </c>
      <c r="H4" s="175">
        <v>36</v>
      </c>
    </row>
    <row r="5" spans="1:18" ht="45" x14ac:dyDescent="0.25">
      <c r="A5" s="168">
        <v>3</v>
      </c>
      <c r="B5" s="172" t="s">
        <v>125</v>
      </c>
      <c r="C5" s="168" t="s">
        <v>132</v>
      </c>
      <c r="D5" s="168" t="s">
        <v>141</v>
      </c>
      <c r="E5" s="177" t="s">
        <v>130</v>
      </c>
      <c r="F5" s="168" t="s">
        <v>200</v>
      </c>
      <c r="G5" s="174">
        <f>'Mapa Comparativo'!G19+ 'Mapa Comparativo'!G22</f>
        <v>1330</v>
      </c>
      <c r="H5" s="175">
        <v>36</v>
      </c>
    </row>
  </sheetData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O14"/>
  <sheetViews>
    <sheetView workbookViewId="0">
      <selection activeCell="A2" sqref="A2"/>
    </sheetView>
  </sheetViews>
  <sheetFormatPr defaultRowHeight="15" x14ac:dyDescent="0.25"/>
  <cols>
    <col min="1" max="1" width="4.85546875" style="16" bestFit="1" customWidth="1"/>
    <col min="2" max="2" width="26.28515625" customWidth="1"/>
    <col min="3" max="3" width="6" style="105" bestFit="1" customWidth="1"/>
    <col min="4" max="4" width="8.28515625" style="105" customWidth="1"/>
    <col min="5" max="5" width="26.42578125" style="105" bestFit="1" customWidth="1"/>
    <col min="6" max="6" width="11.140625" style="105" bestFit="1" customWidth="1"/>
    <col min="7" max="7" width="7" style="105" bestFit="1" customWidth="1"/>
    <col min="8" max="8" width="7" style="105" customWidth="1"/>
    <col min="12" max="12" width="54.42578125" customWidth="1"/>
  </cols>
  <sheetData>
    <row r="1" spans="1:15" ht="14.45" customHeight="1" x14ac:dyDescent="0.3">
      <c r="A1" s="181" t="s">
        <v>190</v>
      </c>
      <c r="B1" s="182"/>
      <c r="C1" s="182"/>
      <c r="D1" s="182"/>
      <c r="E1" s="182"/>
      <c r="F1" s="182"/>
      <c r="G1" s="182"/>
      <c r="H1" s="183"/>
    </row>
    <row r="2" spans="1:15" ht="17.25" x14ac:dyDescent="0.3">
      <c r="A2" s="184" t="s">
        <v>189</v>
      </c>
      <c r="B2" s="185"/>
      <c r="C2" s="185"/>
      <c r="D2" s="185"/>
      <c r="E2" s="185"/>
      <c r="F2" s="185"/>
      <c r="G2" s="185"/>
      <c r="H2" s="186"/>
    </row>
    <row r="3" spans="1:15" ht="45" x14ac:dyDescent="0.25">
      <c r="A3" s="30" t="s">
        <v>3</v>
      </c>
      <c r="B3" s="30" t="s">
        <v>196</v>
      </c>
      <c r="C3" s="30" t="s">
        <v>6</v>
      </c>
      <c r="D3" s="30" t="s">
        <v>191</v>
      </c>
      <c r="E3" s="30" t="s">
        <v>9</v>
      </c>
      <c r="F3" s="30" t="s">
        <v>199</v>
      </c>
      <c r="G3" s="30" t="s">
        <v>202</v>
      </c>
      <c r="H3" s="30" t="s">
        <v>187</v>
      </c>
    </row>
    <row r="4" spans="1:15" ht="45" x14ac:dyDescent="0.25">
      <c r="A4" s="168">
        <v>4</v>
      </c>
      <c r="B4" s="172" t="s">
        <v>13</v>
      </c>
      <c r="C4" s="168" t="s">
        <v>14</v>
      </c>
      <c r="D4" s="168" t="s">
        <v>15</v>
      </c>
      <c r="E4" s="173" t="s">
        <v>17</v>
      </c>
      <c r="F4" s="168" t="s">
        <v>200</v>
      </c>
      <c r="G4" s="174">
        <f>'Mapa Comparativo'!G12</f>
        <v>284</v>
      </c>
      <c r="H4" s="175">
        <v>36</v>
      </c>
    </row>
    <row r="5" spans="1:15" ht="45" x14ac:dyDescent="0.25">
      <c r="A5" s="168">
        <v>5</v>
      </c>
      <c r="B5" s="172" t="s">
        <v>19</v>
      </c>
      <c r="C5" s="168" t="s">
        <v>20</v>
      </c>
      <c r="D5" s="168" t="s">
        <v>21</v>
      </c>
      <c r="E5" s="173" t="s">
        <v>22</v>
      </c>
      <c r="F5" s="168" t="s">
        <v>200</v>
      </c>
      <c r="G5" s="174">
        <f>'Mapa Comparativo'!G13</f>
        <v>236</v>
      </c>
      <c r="H5" s="175">
        <v>36</v>
      </c>
    </row>
    <row r="6" spans="1:15" ht="30" x14ac:dyDescent="0.25">
      <c r="A6" s="168">
        <v>6</v>
      </c>
      <c r="B6" s="172" t="s">
        <v>23</v>
      </c>
      <c r="C6" s="168" t="s">
        <v>24</v>
      </c>
      <c r="D6" s="168" t="s">
        <v>25</v>
      </c>
      <c r="E6" s="177" t="s">
        <v>27</v>
      </c>
      <c r="F6" s="168" t="s">
        <v>200</v>
      </c>
      <c r="G6" s="174">
        <f>'Mapa Comparativo'!G14</f>
        <v>10</v>
      </c>
      <c r="H6" s="175">
        <v>36</v>
      </c>
      <c r="K6" s="27"/>
      <c r="L6" s="28"/>
      <c r="M6" s="27"/>
      <c r="N6" s="27"/>
      <c r="O6" s="27"/>
    </row>
    <row r="7" spans="1:15" ht="30" x14ac:dyDescent="0.25">
      <c r="A7" s="168">
        <v>7</v>
      </c>
      <c r="B7" s="172" t="s">
        <v>29</v>
      </c>
      <c r="C7" s="168" t="s">
        <v>30</v>
      </c>
      <c r="D7" s="168" t="s">
        <v>31</v>
      </c>
      <c r="E7" s="177" t="s">
        <v>32</v>
      </c>
      <c r="F7" s="168" t="s">
        <v>200</v>
      </c>
      <c r="G7" s="174">
        <f>'Mapa Comparativo'!G15</f>
        <v>3</v>
      </c>
      <c r="H7" s="175">
        <v>36</v>
      </c>
      <c r="K7" s="27"/>
      <c r="L7" s="28"/>
      <c r="M7" s="27"/>
      <c r="N7" s="27"/>
      <c r="O7" s="27"/>
    </row>
    <row r="8" spans="1:15" ht="30" x14ac:dyDescent="0.25">
      <c r="A8" s="168">
        <v>8</v>
      </c>
      <c r="B8" s="172" t="s">
        <v>33</v>
      </c>
      <c r="C8" s="168" t="s">
        <v>34</v>
      </c>
      <c r="D8" s="168" t="s">
        <v>35</v>
      </c>
      <c r="E8" s="177" t="s">
        <v>36</v>
      </c>
      <c r="F8" s="168" t="s">
        <v>200</v>
      </c>
      <c r="G8" s="174">
        <f>'Mapa Comparativo'!G16</f>
        <v>5</v>
      </c>
      <c r="H8" s="175">
        <v>36</v>
      </c>
      <c r="K8" s="27"/>
      <c r="L8" s="28"/>
      <c r="M8" s="27"/>
      <c r="N8" s="27"/>
      <c r="O8" s="27"/>
    </row>
    <row r="9" spans="1:15" ht="30" x14ac:dyDescent="0.25">
      <c r="A9" s="168">
        <v>9</v>
      </c>
      <c r="B9" s="172" t="s">
        <v>46</v>
      </c>
      <c r="C9" s="168" t="s">
        <v>47</v>
      </c>
      <c r="D9" s="168" t="s">
        <v>48</v>
      </c>
      <c r="E9" s="173" t="s">
        <v>50</v>
      </c>
      <c r="F9" s="168" t="s">
        <v>200</v>
      </c>
      <c r="G9" s="174">
        <f>'Mapa Comparativo'!G23</f>
        <v>20</v>
      </c>
      <c r="H9" s="175">
        <v>36</v>
      </c>
    </row>
    <row r="10" spans="1:15" ht="30" x14ac:dyDescent="0.25">
      <c r="A10" s="168">
        <v>10</v>
      </c>
      <c r="B10" s="172" t="s">
        <v>51</v>
      </c>
      <c r="C10" s="168" t="s">
        <v>52</v>
      </c>
      <c r="D10" s="168" t="s">
        <v>53</v>
      </c>
      <c r="E10" s="173" t="s">
        <v>107</v>
      </c>
      <c r="F10" s="168" t="s">
        <v>200</v>
      </c>
      <c r="G10" s="174">
        <f>'Mapa Comparativo'!G24</f>
        <v>15</v>
      </c>
      <c r="H10" s="175">
        <v>36</v>
      </c>
    </row>
    <row r="11" spans="1:15" ht="45" x14ac:dyDescent="0.25">
      <c r="A11" s="168">
        <v>11</v>
      </c>
      <c r="B11" s="172" t="s">
        <v>182</v>
      </c>
      <c r="C11" s="168" t="s">
        <v>180</v>
      </c>
      <c r="D11" s="168" t="s">
        <v>181</v>
      </c>
      <c r="E11" s="173" t="s">
        <v>195</v>
      </c>
      <c r="F11" s="168" t="s">
        <v>200</v>
      </c>
      <c r="G11" s="174">
        <f>'Mapa Comparativo'!G25</f>
        <v>5</v>
      </c>
      <c r="H11" s="175">
        <v>36</v>
      </c>
    </row>
    <row r="12" spans="1:15" ht="30" x14ac:dyDescent="0.25">
      <c r="A12" s="168">
        <v>12</v>
      </c>
      <c r="B12" s="172" t="s">
        <v>183</v>
      </c>
      <c r="C12" s="168" t="s">
        <v>179</v>
      </c>
      <c r="D12" s="168" t="s">
        <v>178</v>
      </c>
      <c r="E12" s="173" t="s">
        <v>177</v>
      </c>
      <c r="F12" s="168" t="s">
        <v>200</v>
      </c>
      <c r="G12" s="174">
        <f>'Mapa Comparativo'!G26</f>
        <v>2</v>
      </c>
      <c r="H12" s="175">
        <v>36</v>
      </c>
    </row>
    <row r="13" spans="1:15" ht="15.75" x14ac:dyDescent="0.25">
      <c r="A13" s="247"/>
      <c r="B13" s="247"/>
      <c r="C13" s="247"/>
      <c r="D13" s="247"/>
      <c r="E13" s="247"/>
      <c r="F13" s="247"/>
      <c r="G13" s="247"/>
      <c r="H13" s="247"/>
    </row>
    <row r="14" spans="1:15" x14ac:dyDescent="0.25">
      <c r="A14" s="284"/>
      <c r="B14" s="284"/>
      <c r="C14" s="284"/>
      <c r="D14" s="284"/>
      <c r="E14" s="284"/>
      <c r="F14" s="284"/>
      <c r="G14" s="284"/>
      <c r="H14" s="284"/>
    </row>
  </sheetData>
  <mergeCells count="2">
    <mergeCell ref="A13:H13"/>
    <mergeCell ref="A14:H1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T25"/>
  <sheetViews>
    <sheetView workbookViewId="0">
      <selection activeCell="D31" sqref="D31"/>
    </sheetView>
  </sheetViews>
  <sheetFormatPr defaultRowHeight="15" x14ac:dyDescent="0.25"/>
  <cols>
    <col min="1" max="1" width="10.42578125" customWidth="1"/>
    <col min="2" max="2" width="51.42578125" customWidth="1"/>
    <col min="3" max="3" width="13.7109375" customWidth="1"/>
    <col min="4" max="5" width="15.42578125" customWidth="1"/>
    <col min="6" max="6" width="19.42578125" customWidth="1"/>
    <col min="7" max="7" width="20" customWidth="1"/>
    <col min="8" max="8" width="20.140625" customWidth="1"/>
    <col min="18" max="18" width="18.140625" customWidth="1"/>
    <col min="19" max="19" width="24.28515625" customWidth="1"/>
  </cols>
  <sheetData>
    <row r="1" spans="1:16" ht="18" thickBot="1" x14ac:dyDescent="0.35">
      <c r="A1" s="241" t="s">
        <v>0</v>
      </c>
      <c r="B1" s="242"/>
      <c r="C1" s="242"/>
      <c r="D1" s="242"/>
      <c r="E1" s="242"/>
      <c r="F1" s="242"/>
      <c r="G1" s="242"/>
      <c r="H1" s="243"/>
      <c r="I1" s="6"/>
      <c r="J1" s="6"/>
      <c r="K1" s="6"/>
      <c r="L1" s="6"/>
    </row>
    <row r="2" spans="1:16" ht="17.2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"/>
      <c r="N2" s="5"/>
      <c r="O2" s="5"/>
    </row>
    <row r="3" spans="1:16" ht="17.25" x14ac:dyDescent="0.3">
      <c r="A3" s="6" t="s">
        <v>109</v>
      </c>
      <c r="B3" s="5"/>
      <c r="C3" s="5"/>
      <c r="D3" s="5"/>
      <c r="E3" s="5"/>
      <c r="F3" s="5"/>
      <c r="G3" s="5"/>
      <c r="H3" s="5"/>
      <c r="I3" s="5"/>
      <c r="J3" s="5"/>
      <c r="K3" s="5"/>
      <c r="L3" s="1"/>
      <c r="N3" s="5"/>
      <c r="O3" s="5"/>
    </row>
    <row r="4" spans="1:16" ht="17.25" customHeight="1" x14ac:dyDescent="0.3">
      <c r="A4" s="6" t="s">
        <v>1</v>
      </c>
      <c r="B4" s="240" t="s">
        <v>68</v>
      </c>
      <c r="C4" s="240"/>
      <c r="D4" s="240"/>
      <c r="E4" s="240"/>
      <c r="F4" s="240"/>
      <c r="G4" s="240"/>
      <c r="H4" s="240"/>
      <c r="I4" s="14"/>
      <c r="J4" s="14"/>
      <c r="K4" s="14"/>
      <c r="L4" s="14"/>
      <c r="M4" s="14"/>
      <c r="N4" s="14"/>
      <c r="O4" s="14"/>
      <c r="P4" s="14"/>
    </row>
    <row r="5" spans="1:16" ht="17.25" customHeight="1" x14ac:dyDescent="0.3">
      <c r="A5" s="6"/>
      <c r="B5" s="240"/>
      <c r="C5" s="240"/>
      <c r="D5" s="240"/>
      <c r="E5" s="240"/>
      <c r="F5" s="240"/>
      <c r="G5" s="240"/>
      <c r="H5" s="240"/>
      <c r="I5" s="14"/>
      <c r="J5" s="14"/>
      <c r="K5" s="14"/>
      <c r="L5" s="14"/>
      <c r="M5" s="14"/>
      <c r="N5" s="14"/>
      <c r="O5" s="14"/>
      <c r="P5" s="14"/>
    </row>
    <row r="6" spans="1:16" ht="17.25" x14ac:dyDescent="0.3">
      <c r="A6" s="5"/>
      <c r="B6" s="240"/>
      <c r="C6" s="240"/>
      <c r="D6" s="240"/>
      <c r="E6" s="240"/>
      <c r="F6" s="240"/>
      <c r="G6" s="240"/>
      <c r="H6" s="240"/>
      <c r="I6" s="14"/>
      <c r="J6" s="14"/>
      <c r="K6" s="14"/>
      <c r="L6" s="14"/>
      <c r="M6" s="14"/>
      <c r="N6" s="14"/>
      <c r="O6" s="14"/>
      <c r="P6" s="14"/>
    </row>
    <row r="7" spans="1:16" ht="18" thickBot="1" x14ac:dyDescent="0.35">
      <c r="A7" s="5"/>
      <c r="B7" s="14"/>
      <c r="C7" s="14"/>
      <c r="D7" s="14"/>
      <c r="E7" s="14"/>
      <c r="F7" s="14"/>
      <c r="G7" s="19"/>
      <c r="H7" s="19"/>
      <c r="I7" s="19"/>
      <c r="J7" s="19"/>
      <c r="K7" s="19"/>
      <c r="L7" s="19"/>
      <c r="M7" s="19"/>
      <c r="N7" s="19"/>
    </row>
    <row r="8" spans="1:16" ht="50.1" customHeight="1" x14ac:dyDescent="0.25">
      <c r="A8" s="52" t="s">
        <v>3</v>
      </c>
      <c r="B8" s="53" t="s">
        <v>55</v>
      </c>
      <c r="C8" s="53" t="s">
        <v>6</v>
      </c>
      <c r="D8" s="77" t="str">
        <f>'Descr&amp;Quant'!J9</f>
        <v>Quant. meses / ano (ANM)</v>
      </c>
      <c r="E8" s="64" t="s">
        <v>110</v>
      </c>
      <c r="F8" s="50" t="s">
        <v>111</v>
      </c>
      <c r="G8" s="70" t="s">
        <v>112</v>
      </c>
      <c r="H8" s="60" t="s">
        <v>113</v>
      </c>
    </row>
    <row r="9" spans="1:16" ht="17.25" x14ac:dyDescent="0.25">
      <c r="A9" s="54">
        <f>'Descr&amp;Quant'!A10</f>
        <v>1</v>
      </c>
      <c r="B9" s="37" t="str">
        <f>'Descr&amp;Quant'!B10</f>
        <v>CISSteStdCore ALNG LicSAPk MVL 2Lic CoreLic</v>
      </c>
      <c r="C9" s="20" t="str">
        <f>'Descr&amp;Quant'!D10</f>
        <v>9GA-00006</v>
      </c>
      <c r="D9" s="49">
        <f>'Descr&amp;Quant'!J10</f>
        <v>36</v>
      </c>
      <c r="E9" s="65">
        <f>'Descr&amp;Quant'!I10</f>
        <v>284</v>
      </c>
      <c r="F9" s="51" t="e">
        <f>'Mapa Comparativo'!#REF!</f>
        <v>#REF!</v>
      </c>
      <c r="G9" s="74" t="e">
        <f t="shared" ref="G9:G16" si="0">F9*D9</f>
        <v>#REF!</v>
      </c>
      <c r="H9" s="75" t="e">
        <f t="shared" ref="H9:H16" si="1">E9*G9</f>
        <v>#REF!</v>
      </c>
    </row>
    <row r="10" spans="1:16" ht="17.25" x14ac:dyDescent="0.25">
      <c r="A10" s="54">
        <f>'Descr&amp;Quant'!A11</f>
        <v>2</v>
      </c>
      <c r="B10" s="37" t="str">
        <f>'Descr&amp;Quant'!B11</f>
        <v>CISSteDCCore ALNG LicSAPk MVL 2Lic CoreLic</v>
      </c>
      <c r="C10" s="20" t="str">
        <f>'Descr&amp;Quant'!D11</f>
        <v>9GS-00495</v>
      </c>
      <c r="D10" s="49">
        <f>'Descr&amp;Quant'!J11</f>
        <v>36</v>
      </c>
      <c r="E10" s="65">
        <f>'Descr&amp;Quant'!I11</f>
        <v>236</v>
      </c>
      <c r="F10" s="51" t="e">
        <f>'Mapa Comparativo'!#REF!</f>
        <v>#REF!</v>
      </c>
      <c r="G10" s="74" t="e">
        <f t="shared" si="0"/>
        <v>#REF!</v>
      </c>
      <c r="H10" s="75" t="e">
        <f t="shared" si="1"/>
        <v>#REF!</v>
      </c>
    </row>
    <row r="11" spans="1:16" ht="17.25" x14ac:dyDescent="0.25">
      <c r="A11" s="54">
        <f>'Descr&amp;Quant'!A12</f>
        <v>3</v>
      </c>
      <c r="B11" s="37" t="str">
        <f>'Descr&amp;Quant'!B12</f>
        <v>Project Plan3 Shared All Lng Subs VL MVL Per User</v>
      </c>
      <c r="C11" s="20" t="str">
        <f>'Descr&amp;Quant'!D12</f>
        <v>7LS-00002</v>
      </c>
      <c r="D11" s="49">
        <f>'Descr&amp;Quant'!J12</f>
        <v>36</v>
      </c>
      <c r="E11" s="65">
        <f>'Descr&amp;Quant'!I12</f>
        <v>10</v>
      </c>
      <c r="F11" s="51" t="e">
        <f>'Mapa Comparativo'!#REF!</f>
        <v>#REF!</v>
      </c>
      <c r="G11" s="74" t="e">
        <f t="shared" si="0"/>
        <v>#REF!</v>
      </c>
      <c r="H11" s="75" t="e">
        <f t="shared" si="1"/>
        <v>#REF!</v>
      </c>
    </row>
    <row r="12" spans="1:16" ht="17.25" x14ac:dyDescent="0.25">
      <c r="A12" s="54">
        <f>'Descr&amp;Quant'!A13</f>
        <v>4</v>
      </c>
      <c r="B12" s="37" t="str">
        <f>'Descr&amp;Quant'!B13</f>
        <v>VSEntSubMSDN ALNG LicSAPk MVL</v>
      </c>
      <c r="C12" s="20" t="str">
        <f>'Descr&amp;Quant'!D13</f>
        <v>MX3-00115</v>
      </c>
      <c r="D12" s="49">
        <f>'Descr&amp;Quant'!J13</f>
        <v>36</v>
      </c>
      <c r="E12" s="65">
        <f>'Descr&amp;Quant'!I13</f>
        <v>3</v>
      </c>
      <c r="F12" s="51" t="e">
        <f>'Mapa Comparativo'!#REF!</f>
        <v>#REF!</v>
      </c>
      <c r="G12" s="74" t="e">
        <f t="shared" si="0"/>
        <v>#REF!</v>
      </c>
      <c r="H12" s="75" t="e">
        <f t="shared" si="1"/>
        <v>#REF!</v>
      </c>
    </row>
    <row r="13" spans="1:16" ht="14.45" customHeight="1" x14ac:dyDescent="0.25">
      <c r="A13" s="54">
        <f>'Descr&amp;Quant'!A14</f>
        <v>5</v>
      </c>
      <c r="B13" s="37" t="str">
        <f>'Descr&amp;Quant'!B14</f>
        <v>VisioPlan2 ShrdSvr ALNG SubsVL MVL PerUsr</v>
      </c>
      <c r="C13" s="20" t="str">
        <f>'Descr&amp;Quant'!D14</f>
        <v>N9U-00002</v>
      </c>
      <c r="D13" s="49">
        <f>'Descr&amp;Quant'!J14</f>
        <v>36</v>
      </c>
      <c r="E13" s="65">
        <f>'Descr&amp;Quant'!I14</f>
        <v>5</v>
      </c>
      <c r="F13" s="51" t="e">
        <f>'Mapa Comparativo'!#REF!</f>
        <v>#REF!</v>
      </c>
      <c r="G13" s="74" t="e">
        <f t="shared" si="0"/>
        <v>#REF!</v>
      </c>
      <c r="H13" s="75" t="e">
        <f t="shared" si="1"/>
        <v>#REF!</v>
      </c>
    </row>
    <row r="14" spans="1:16" ht="17.25" x14ac:dyDescent="0.25">
      <c r="A14" s="54" t="str">
        <f>'Descr&amp;Quant'!A15</f>
        <v>6.1</v>
      </c>
      <c r="B14" s="37" t="str">
        <f>'Descr&amp;Quant'!B15</f>
        <v>M365 E3 ShrdSvr ALNG SubsVL MVL PerUsr (Original)</v>
      </c>
      <c r="C14" s="20" t="str">
        <f>'Descr&amp;Quant'!D15</f>
        <v>AAA-10756</v>
      </c>
      <c r="D14" s="49">
        <f>'Descr&amp;Quant'!J15</f>
        <v>36</v>
      </c>
      <c r="E14" s="65">
        <f>'Descr&amp;Quant'!I15</f>
        <v>1485</v>
      </c>
      <c r="F14" s="51" t="e">
        <f>'Mapa Comparativo'!#REF!</f>
        <v>#REF!</v>
      </c>
      <c r="G14" s="74" t="e">
        <f t="shared" si="0"/>
        <v>#REF!</v>
      </c>
      <c r="H14" s="75" t="e">
        <f t="shared" si="1"/>
        <v>#REF!</v>
      </c>
    </row>
    <row r="15" spans="1:16" ht="17.25" x14ac:dyDescent="0.25">
      <c r="A15" s="54" t="str">
        <f>'Descr&amp;Quant'!A18</f>
        <v>7.1</v>
      </c>
      <c r="B15" s="37" t="str">
        <f>'Descr&amp;Quant'!B18</f>
        <v>M365 E5 ShrdSvr ALNG SubsVL MVL PerUsr (Original)</v>
      </c>
      <c r="C15" s="20" t="str">
        <f>'Descr&amp;Quant'!D18</f>
        <v>AAA-28605</v>
      </c>
      <c r="D15" s="49">
        <f>'Descr&amp;Quant'!J18</f>
        <v>36</v>
      </c>
      <c r="E15" s="65">
        <f>'Descr&amp;Quant'!I18</f>
        <v>15</v>
      </c>
      <c r="F15" s="51" t="e">
        <f>'Mapa Comparativo'!#REF!</f>
        <v>#REF!</v>
      </c>
      <c r="G15" s="74" t="e">
        <f t="shared" si="0"/>
        <v>#REF!</v>
      </c>
      <c r="H15" s="75" t="e">
        <f t="shared" si="1"/>
        <v>#REF!</v>
      </c>
    </row>
    <row r="16" spans="1:16" ht="18" thickBot="1" x14ac:dyDescent="0.3">
      <c r="A16" s="55">
        <f>'Descr&amp;Quant'!A21</f>
        <v>8</v>
      </c>
      <c r="B16" s="56" t="str">
        <f>'Descr&amp;Quant'!B21</f>
        <v>SQLSvrEntCore ALNG LicSAPk MVL 2Lic CoreLic</v>
      </c>
      <c r="C16" s="57" t="str">
        <f>'Descr&amp;Quant'!D21</f>
        <v>7JQ-00341</v>
      </c>
      <c r="D16" s="58">
        <f>'Descr&amp;Quant'!J21</f>
        <v>36</v>
      </c>
      <c r="E16" s="66">
        <f>'Descr&amp;Quant'!I21</f>
        <v>20</v>
      </c>
      <c r="F16" s="51" t="e">
        <f>'Mapa Comparativo'!#REF!</f>
        <v>#REF!</v>
      </c>
      <c r="G16" s="74" t="e">
        <f t="shared" si="0"/>
        <v>#REF!</v>
      </c>
      <c r="H16" s="75" t="e">
        <f t="shared" si="1"/>
        <v>#REF!</v>
      </c>
    </row>
    <row r="17" spans="1:20" ht="15.75" thickBot="1" x14ac:dyDescent="0.3">
      <c r="A17" s="291" t="s">
        <v>114</v>
      </c>
      <c r="B17" s="292"/>
      <c r="C17" s="292"/>
      <c r="D17" s="292"/>
      <c r="E17" s="293"/>
      <c r="F17" s="59" t="e">
        <f>SUM(F9:F16)</f>
        <v>#REF!</v>
      </c>
      <c r="G17" s="71"/>
      <c r="H17" s="73"/>
    </row>
    <row r="18" spans="1:20" ht="15.75" thickBot="1" x14ac:dyDescent="0.3">
      <c r="A18" s="288" t="s">
        <v>115</v>
      </c>
      <c r="B18" s="289"/>
      <c r="C18" s="289"/>
      <c r="D18" s="289"/>
      <c r="E18" s="289"/>
      <c r="F18" s="290"/>
      <c r="G18" s="72" t="e">
        <f>SUM(G9:G17)*6</f>
        <v>#REF!</v>
      </c>
      <c r="H18" s="73"/>
    </row>
    <row r="19" spans="1:20" ht="15.75" thickBot="1" x14ac:dyDescent="0.3">
      <c r="A19" s="285" t="s">
        <v>116</v>
      </c>
      <c r="B19" s="286"/>
      <c r="C19" s="286"/>
      <c r="D19" s="286"/>
      <c r="E19" s="286"/>
      <c r="F19" s="286"/>
      <c r="G19" s="287"/>
      <c r="H19" s="76" t="e">
        <f>SUM(H9:H18)</f>
        <v>#REF!</v>
      </c>
    </row>
    <row r="21" spans="1:20" ht="17.25" x14ac:dyDescent="0.3">
      <c r="A21" s="6" t="s">
        <v>117</v>
      </c>
      <c r="B21" s="5"/>
      <c r="C21" s="5"/>
      <c r="D21" s="5"/>
      <c r="E21" s="5"/>
      <c r="F21" s="5"/>
      <c r="G21" s="5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20" ht="18.75" customHeight="1" x14ac:dyDescent="0.25">
      <c r="A22" s="247" t="s">
        <v>118</v>
      </c>
      <c r="B22" s="247"/>
      <c r="C22" s="247"/>
      <c r="D22" s="247"/>
      <c r="E22" s="247"/>
      <c r="F22" s="247"/>
      <c r="G22" s="247"/>
      <c r="H22" s="247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</row>
    <row r="23" spans="1:20" ht="18.75" customHeight="1" x14ac:dyDescent="0.25">
      <c r="A23" s="247"/>
      <c r="B23" s="247"/>
      <c r="C23" s="247"/>
      <c r="D23" s="247"/>
      <c r="E23" s="247"/>
      <c r="F23" s="247"/>
      <c r="G23" s="247"/>
      <c r="H23" s="247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</row>
    <row r="24" spans="1:20" ht="18.75" customHeight="1" x14ac:dyDescent="0.25">
      <c r="A24" s="247"/>
      <c r="B24" s="247"/>
      <c r="C24" s="247"/>
      <c r="D24" s="247"/>
      <c r="E24" s="247"/>
      <c r="F24" s="247"/>
      <c r="G24" s="247"/>
      <c r="H24" s="247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</row>
    <row r="25" spans="1:20" ht="18.75" customHeight="1" x14ac:dyDescent="0.25">
      <c r="A25" s="247"/>
      <c r="B25" s="247"/>
      <c r="C25" s="247"/>
      <c r="D25" s="247"/>
      <c r="E25" s="247"/>
      <c r="F25" s="247"/>
      <c r="G25" s="247"/>
      <c r="H25" s="247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</row>
  </sheetData>
  <mergeCells count="6">
    <mergeCell ref="A19:G19"/>
    <mergeCell ref="A1:H1"/>
    <mergeCell ref="B4:H6"/>
    <mergeCell ref="A22:H25"/>
    <mergeCell ref="A18:F18"/>
    <mergeCell ref="A17:E1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U39"/>
  <sheetViews>
    <sheetView topLeftCell="A7" workbookViewId="0">
      <selection activeCell="E25" sqref="E25"/>
    </sheetView>
  </sheetViews>
  <sheetFormatPr defaultRowHeight="15" x14ac:dyDescent="0.25"/>
  <cols>
    <col min="1" max="1" width="10.140625" customWidth="1"/>
    <col min="2" max="2" width="26.7109375" customWidth="1"/>
    <col min="3" max="3" width="10.5703125" bestFit="1" customWidth="1"/>
    <col min="4" max="4" width="10.5703125" customWidth="1"/>
    <col min="5" max="5" width="10.140625" customWidth="1"/>
    <col min="6" max="6" width="26.28515625" hidden="1" customWidth="1"/>
    <col min="7" max="7" width="12.28515625" customWidth="1"/>
    <col min="8" max="8" width="17" customWidth="1"/>
    <col min="9" max="9" width="22" customWidth="1"/>
    <col min="10" max="10" width="20.28515625" customWidth="1"/>
    <col min="11" max="11" width="19.28515625" customWidth="1"/>
    <col min="12" max="12" width="21.5703125" customWidth="1"/>
    <col min="13" max="13" width="15" customWidth="1"/>
    <col min="14" max="14" width="20.42578125" customWidth="1"/>
    <col min="15" max="15" width="16" bestFit="1" customWidth="1"/>
    <col min="16" max="16" width="17.42578125" customWidth="1"/>
  </cols>
  <sheetData>
    <row r="1" spans="1:21" ht="18" thickBot="1" x14ac:dyDescent="0.35">
      <c r="A1" s="241" t="s">
        <v>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3"/>
      <c r="M1" s="6"/>
    </row>
    <row r="2" spans="1:21" ht="17.2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1"/>
      <c r="S2" s="5"/>
      <c r="T2" s="5"/>
    </row>
    <row r="3" spans="1:21" ht="17.25" x14ac:dyDescent="0.3">
      <c r="A3" s="6" t="s">
        <v>150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1"/>
      <c r="S3" s="5"/>
      <c r="T3" s="5"/>
    </row>
    <row r="4" spans="1:21" ht="17.25" x14ac:dyDescent="0.3">
      <c r="A4" s="6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1"/>
      <c r="S4" s="5"/>
      <c r="T4" s="5"/>
    </row>
    <row r="5" spans="1:21" ht="17.25" customHeight="1" x14ac:dyDescent="0.3">
      <c r="A5" s="6" t="s">
        <v>1</v>
      </c>
      <c r="B5" s="240" t="s">
        <v>2</v>
      </c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14"/>
      <c r="N5" s="14"/>
      <c r="O5" s="14"/>
      <c r="P5" s="14"/>
      <c r="Q5" s="14"/>
      <c r="R5" s="14"/>
      <c r="S5" s="14"/>
      <c r="T5" s="14"/>
      <c r="U5" s="14"/>
    </row>
    <row r="6" spans="1:21" ht="17.25" x14ac:dyDescent="0.3">
      <c r="A6" s="5"/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14"/>
      <c r="N6" s="14"/>
      <c r="O6" s="14"/>
      <c r="P6" s="14"/>
      <c r="Q6" s="14"/>
      <c r="R6" s="14"/>
      <c r="S6" s="14"/>
      <c r="T6" s="14"/>
      <c r="U6" s="14"/>
    </row>
    <row r="7" spans="1:21" ht="17.25" x14ac:dyDescent="0.3">
      <c r="A7" s="5"/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14"/>
      <c r="N7" s="14"/>
      <c r="O7" s="14"/>
      <c r="P7" s="14"/>
      <c r="Q7" s="14"/>
      <c r="R7" s="14"/>
      <c r="S7" s="14"/>
      <c r="T7" s="14"/>
      <c r="U7" s="14"/>
    </row>
    <row r="8" spans="1:21" ht="17.25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1"/>
      <c r="O8" s="5"/>
    </row>
    <row r="9" spans="1:21" ht="17.25" x14ac:dyDescent="0.3">
      <c r="A9" s="6" t="s">
        <v>54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1"/>
      <c r="O9" s="5"/>
    </row>
    <row r="10" spans="1:21" ht="15.75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M10" s="1"/>
      <c r="O10" s="1"/>
    </row>
    <row r="11" spans="1:21" ht="54" customHeight="1" x14ac:dyDescent="0.25">
      <c r="A11" s="24" t="s">
        <v>3</v>
      </c>
      <c r="B11" s="24" t="s">
        <v>55</v>
      </c>
      <c r="C11" s="24" t="s">
        <v>6</v>
      </c>
      <c r="D11" s="83" t="s">
        <v>11</v>
      </c>
      <c r="E11" s="24" t="s">
        <v>7</v>
      </c>
      <c r="F11" s="24" t="s">
        <v>9</v>
      </c>
      <c r="G11" s="24" t="s">
        <v>56</v>
      </c>
      <c r="H11" s="24" t="s">
        <v>57</v>
      </c>
      <c r="I11" s="24" t="s">
        <v>58</v>
      </c>
      <c r="J11" s="48" t="s">
        <v>59</v>
      </c>
      <c r="K11" s="81" t="s">
        <v>60</v>
      </c>
      <c r="L11" s="48" t="s">
        <v>61</v>
      </c>
    </row>
    <row r="12" spans="1:21" ht="30" customHeight="1" x14ac:dyDescent="0.25">
      <c r="A12" s="20">
        <f>'Descr&amp;Quant'!A10</f>
        <v>1</v>
      </c>
      <c r="B12" s="26" t="str">
        <f>'Descr&amp;Quant'!B10</f>
        <v>CISSteStdCore ALNG LicSAPk MVL 2Lic CoreLic</v>
      </c>
      <c r="C12" s="20" t="str">
        <f>'Descr&amp;Quant'!D10</f>
        <v>9GA-00006</v>
      </c>
      <c r="D12" s="32">
        <v>350</v>
      </c>
      <c r="E12" s="20" t="str">
        <f>'Descr&amp;Quant'!E10</f>
        <v>MS.3.0-A0637</v>
      </c>
      <c r="F12" s="33" t="str">
        <f>'Descr&amp;Quant'!G10</f>
        <v>CIS Standard Core (Windows Server + System Center)</v>
      </c>
      <c r="G12" s="34" t="str">
        <f>'Descr&amp;Quant'!H10</f>
        <v>Anual</v>
      </c>
      <c r="H12" s="23">
        <v>391.84</v>
      </c>
      <c r="I12" s="82">
        <f>H12/12</f>
        <v>32.653333333333329</v>
      </c>
      <c r="J12" s="79">
        <f>L12/6</f>
        <v>24.401666666666667</v>
      </c>
      <c r="K12" s="82">
        <f t="shared" ref="K12:K23" si="0">I12*6</f>
        <v>195.91999999999996</v>
      </c>
      <c r="L12" s="79">
        <v>146.41</v>
      </c>
    </row>
    <row r="13" spans="1:21" ht="30" customHeight="1" x14ac:dyDescent="0.25">
      <c r="A13" s="20">
        <f>'Descr&amp;Quant'!A11</f>
        <v>2</v>
      </c>
      <c r="B13" s="26" t="str">
        <f>'Descr&amp;Quant'!B11</f>
        <v>CISSteDCCore ALNG LicSAPk MVL 2Lic CoreLic</v>
      </c>
      <c r="C13" s="20" t="str">
        <f>'Descr&amp;Quant'!D11</f>
        <v>9GS-00495</v>
      </c>
      <c r="D13" s="32">
        <v>180</v>
      </c>
      <c r="E13" s="20" t="str">
        <f>'Descr&amp;Quant'!E11</f>
        <v>MS.3.0-A0755</v>
      </c>
      <c r="F13" s="33" t="str">
        <f>'Descr&amp;Quant'!G11</f>
        <v>CIS Datacenter Core (Windows Server + System Center)</v>
      </c>
      <c r="G13" s="34" t="str">
        <f>'Descr&amp;Quant'!H11</f>
        <v>Anual</v>
      </c>
      <c r="H13" s="23">
        <v>1602.77</v>
      </c>
      <c r="I13" s="82">
        <f>H13/12</f>
        <v>133.56416666666667</v>
      </c>
      <c r="J13" s="79">
        <f t="shared" ref="J13:J23" si="1">L13/6</f>
        <v>100.96</v>
      </c>
      <c r="K13" s="82">
        <f t="shared" si="0"/>
        <v>801.38499999999999</v>
      </c>
      <c r="L13" s="79">
        <v>605.76</v>
      </c>
    </row>
    <row r="14" spans="1:21" ht="30" customHeight="1" x14ac:dyDescent="0.25">
      <c r="A14" s="20">
        <f>'Descr&amp;Quant'!A12</f>
        <v>3</v>
      </c>
      <c r="B14" s="26" t="str">
        <f>'Descr&amp;Quant'!B12</f>
        <v>Project Plan3 Shared All Lng Subs VL MVL Per User</v>
      </c>
      <c r="C14" s="20" t="str">
        <f>'Descr&amp;Quant'!D12</f>
        <v>7LS-00002</v>
      </c>
      <c r="D14" s="32">
        <v>5</v>
      </c>
      <c r="E14" s="20" t="str">
        <f>'Descr&amp;Quant'!E12</f>
        <v>MS.3.0-A0478</v>
      </c>
      <c r="F14" s="33" t="str">
        <f>'Descr&amp;Quant'!G12</f>
        <v>Microsoft Project Plano 3</v>
      </c>
      <c r="G14" s="34" t="str">
        <f>'Descr&amp;Quant'!H12</f>
        <v>Mês</v>
      </c>
      <c r="H14" s="23">
        <v>119.69</v>
      </c>
      <c r="I14" s="82">
        <f>H14</f>
        <v>119.69</v>
      </c>
      <c r="J14" s="79">
        <f t="shared" si="1"/>
        <v>98.148333333333326</v>
      </c>
      <c r="K14" s="82">
        <f t="shared" si="0"/>
        <v>718.14</v>
      </c>
      <c r="L14" s="79">
        <v>588.89</v>
      </c>
    </row>
    <row r="15" spans="1:21" ht="30" customHeight="1" x14ac:dyDescent="0.25">
      <c r="A15" s="20">
        <f>'Descr&amp;Quant'!A13</f>
        <v>4</v>
      </c>
      <c r="B15" s="26" t="str">
        <f>'Descr&amp;Quant'!B13</f>
        <v>VSEntSubMSDN ALNG LicSAPk MVL</v>
      </c>
      <c r="C15" s="20" t="str">
        <f>'Descr&amp;Quant'!D13</f>
        <v>MX3-00115</v>
      </c>
      <c r="D15" s="32">
        <v>3</v>
      </c>
      <c r="E15" s="20" t="str">
        <f>'Descr&amp;Quant'!E13</f>
        <v>MS.3.0-A1473</v>
      </c>
      <c r="F15" s="33" t="str">
        <f>'Descr&amp;Quant'!G13</f>
        <v>Visual Studio Enterprise MSDN</v>
      </c>
      <c r="G15" s="34" t="str">
        <f>'Descr&amp;Quant'!H13</f>
        <v>Anual</v>
      </c>
      <c r="H15" s="23">
        <v>12862.5</v>
      </c>
      <c r="I15" s="82">
        <f>H15/12</f>
        <v>1071.875</v>
      </c>
      <c r="J15" s="79">
        <f t="shared" si="1"/>
        <v>848.36666666666667</v>
      </c>
      <c r="K15" s="82">
        <f t="shared" si="0"/>
        <v>6431.25</v>
      </c>
      <c r="L15" s="79">
        <v>5090.2</v>
      </c>
    </row>
    <row r="16" spans="1:21" ht="30" customHeight="1" x14ac:dyDescent="0.25">
      <c r="A16" s="20">
        <f>'Descr&amp;Quant'!A14</f>
        <v>5</v>
      </c>
      <c r="B16" s="26" t="str">
        <f>'Descr&amp;Quant'!B14</f>
        <v>VisioPlan2 ShrdSvr ALNG SubsVL MVL PerUsr</v>
      </c>
      <c r="C16" s="20" t="str">
        <f>'Descr&amp;Quant'!D14</f>
        <v>N9U-00002</v>
      </c>
      <c r="D16" s="32">
        <v>5</v>
      </c>
      <c r="E16" s="20" t="str">
        <f>'Descr&amp;Quant'!E14</f>
        <v>MS.3.0-A1497</v>
      </c>
      <c r="F16" s="33" t="str">
        <f>'Descr&amp;Quant'!G14</f>
        <v>Visio Plan 2</v>
      </c>
      <c r="G16" s="34" t="str">
        <f>'Descr&amp;Quant'!H14</f>
        <v>Mês</v>
      </c>
      <c r="H16" s="23">
        <v>59.85</v>
      </c>
      <c r="I16" s="82">
        <f>H16</f>
        <v>59.85</v>
      </c>
      <c r="J16" s="79">
        <f t="shared" si="1"/>
        <v>50.664999999999999</v>
      </c>
      <c r="K16" s="82">
        <f t="shared" si="0"/>
        <v>359.1</v>
      </c>
      <c r="L16" s="79">
        <v>303.99</v>
      </c>
    </row>
    <row r="17" spans="1:15" ht="30" customHeight="1" x14ac:dyDescent="0.25">
      <c r="A17" s="20" t="str">
        <f>'Descr&amp;Quant'!A15</f>
        <v>6.1</v>
      </c>
      <c r="B17" s="26" t="str">
        <f>'Descr&amp;Quant'!B15</f>
        <v>M365 E3 ShrdSvr ALNG SubsVL MVL PerUsr (Original)</v>
      </c>
      <c r="C17" s="20" t="str">
        <f>'Descr&amp;Quant'!D15</f>
        <v>AAA-10756</v>
      </c>
      <c r="D17" s="32">
        <v>1485</v>
      </c>
      <c r="E17" s="20" t="str">
        <f>'Descr&amp;Quant'!E15</f>
        <v>MS.3.0-A0859</v>
      </c>
      <c r="F17" s="33" t="str">
        <f>'Descr&amp;Quant'!G15</f>
        <v>Microsoft 365 E3 Full USL Original</v>
      </c>
      <c r="G17" s="34" t="str">
        <f>'Descr&amp;Quant'!H15</f>
        <v>Mês</v>
      </c>
      <c r="H17" s="23">
        <v>158.30000000000001</v>
      </c>
      <c r="I17" s="82">
        <f>H17</f>
        <v>158.30000000000001</v>
      </c>
      <c r="J17" s="79">
        <f t="shared" si="1"/>
        <v>127.19333333333333</v>
      </c>
      <c r="K17" s="82">
        <f t="shared" si="0"/>
        <v>949.80000000000007</v>
      </c>
      <c r="L17" s="79">
        <v>763.16</v>
      </c>
    </row>
    <row r="18" spans="1:15" ht="30" customHeight="1" x14ac:dyDescent="0.25">
      <c r="A18" s="20" t="str">
        <f>'Descr&amp;Quant'!A16</f>
        <v>6.2.1</v>
      </c>
      <c r="B18" s="26" t="str">
        <f>'Descr&amp;Quant'!B16</f>
        <v>O365E3 ShrdSvr ALNG SubsVL MVL PerUsr</v>
      </c>
      <c r="C18" s="20" t="str">
        <f>'Descr&amp;Quant'!D16</f>
        <v>AAA-10842</v>
      </c>
      <c r="D18" s="32">
        <v>0</v>
      </c>
      <c r="E18" s="20" t="str">
        <f>'Descr&amp;Quant'!E16</f>
        <v>MS.3.0-A0874</v>
      </c>
      <c r="F18" s="33"/>
      <c r="G18" s="34" t="str">
        <f>'Descr&amp;Quant'!H16</f>
        <v>Mês</v>
      </c>
      <c r="H18" s="23">
        <v>93.84</v>
      </c>
      <c r="I18" s="82">
        <f t="shared" ref="I18:I19" si="2">H18</f>
        <v>93.84</v>
      </c>
      <c r="J18" s="130" t="s">
        <v>142</v>
      </c>
      <c r="K18" s="82">
        <f t="shared" si="0"/>
        <v>563.04</v>
      </c>
      <c r="L18" s="130" t="s">
        <v>142</v>
      </c>
    </row>
    <row r="19" spans="1:15" ht="30" customHeight="1" x14ac:dyDescent="0.25">
      <c r="A19" s="20" t="str">
        <f>'Descr&amp;Quant'!A17</f>
        <v>6.2.2</v>
      </c>
      <c r="B19" s="26" t="str">
        <f>'Descr&amp;Quant'!B17</f>
        <v>EntMobandSecE3Full ShrdSvr ALNG SubsVL MVL PerUsr</v>
      </c>
      <c r="C19" s="20" t="str">
        <f>'Descr&amp;Quant'!D17</f>
        <v>AAA-10732</v>
      </c>
      <c r="D19" s="32">
        <v>0</v>
      </c>
      <c r="E19" s="20" t="str">
        <f>'Descr&amp;Quant'!E17</f>
        <v>MS.3.0-A0853</v>
      </c>
      <c r="F19" s="33"/>
      <c r="G19" s="34" t="str">
        <f>'Descr&amp;Quant'!H17</f>
        <v>Mês</v>
      </c>
      <c r="H19" s="23">
        <v>41.08</v>
      </c>
      <c r="I19" s="82">
        <f t="shared" si="2"/>
        <v>41.08</v>
      </c>
      <c r="J19" s="130" t="s">
        <v>142</v>
      </c>
      <c r="K19" s="82">
        <f t="shared" si="0"/>
        <v>246.48</v>
      </c>
      <c r="L19" s="130" t="s">
        <v>142</v>
      </c>
    </row>
    <row r="20" spans="1:15" ht="30" customHeight="1" x14ac:dyDescent="0.25">
      <c r="A20" s="20" t="str">
        <f>'Descr&amp;Quant'!A18</f>
        <v>7.1</v>
      </c>
      <c r="B20" s="26" t="str">
        <f>'Descr&amp;Quant'!B18</f>
        <v>M365 E5 ShrdSvr ALNG SubsVL MVL PerUsr (Original)</v>
      </c>
      <c r="C20" s="20" t="str">
        <f>'Descr&amp;Quant'!D18</f>
        <v>AAA-28605</v>
      </c>
      <c r="D20" s="32">
        <v>15</v>
      </c>
      <c r="E20" s="20" t="str">
        <f>'Descr&amp;Quant'!E18</f>
        <v>MS.3.0-A0915</v>
      </c>
      <c r="F20" s="33" t="str">
        <f>'Descr&amp;Quant'!G18</f>
        <v>Microsoft 365 E5 Full USL Original</v>
      </c>
      <c r="G20" s="34" t="str">
        <f>'Descr&amp;Quant'!H18</f>
        <v>Mês</v>
      </c>
      <c r="H20" s="23">
        <v>274.54000000000002</v>
      </c>
      <c r="I20" s="82">
        <f>H20</f>
        <v>274.54000000000002</v>
      </c>
      <c r="J20" s="79">
        <f t="shared" si="1"/>
        <v>226.67999999999998</v>
      </c>
      <c r="K20" s="82">
        <f t="shared" si="0"/>
        <v>1647.2400000000002</v>
      </c>
      <c r="L20" s="79">
        <v>1360.08</v>
      </c>
    </row>
    <row r="21" spans="1:15" ht="30" customHeight="1" x14ac:dyDescent="0.25">
      <c r="A21" s="20" t="str">
        <f>'Descr&amp;Quant'!A19</f>
        <v>7.2.1</v>
      </c>
      <c r="B21" s="26" t="str">
        <f>'Descr&amp;Quant'!B19</f>
        <v>O365E5 ShrdSvr ALNG SubsVL MVL PerUsr</v>
      </c>
      <c r="C21" s="20" t="str">
        <f>'Descr&amp;Quant'!D19</f>
        <v>SY9-00004</v>
      </c>
      <c r="D21" s="32">
        <v>0</v>
      </c>
      <c r="E21" s="20" t="str">
        <f>'Descr&amp;Quant'!E19</f>
        <v>MS.3.0-A1722</v>
      </c>
      <c r="F21" s="33"/>
      <c r="G21" s="34" t="str">
        <f>'Descr&amp;Quant'!H19</f>
        <v>Mês</v>
      </c>
      <c r="H21" s="23">
        <v>164.31</v>
      </c>
      <c r="I21" s="82">
        <f>H21</f>
        <v>164.31</v>
      </c>
      <c r="J21" s="130" t="s">
        <v>142</v>
      </c>
      <c r="K21" s="82">
        <f t="shared" si="0"/>
        <v>985.86</v>
      </c>
      <c r="L21" s="130" t="s">
        <v>142</v>
      </c>
    </row>
    <row r="22" spans="1:15" ht="30" customHeight="1" x14ac:dyDescent="0.25">
      <c r="A22" s="20" t="str">
        <f>'Descr&amp;Quant'!A20</f>
        <v>7.2.2</v>
      </c>
      <c r="B22" s="26" t="str">
        <f>'Descr&amp;Quant'!B20</f>
        <v>EntMobandSecE3Full ShrdSvr ALNG SubsVL MVL PerUsr</v>
      </c>
      <c r="C22" s="20" t="str">
        <f>'Descr&amp;Quant'!D20</f>
        <v>AAA-10732</v>
      </c>
      <c r="D22" s="32">
        <v>0</v>
      </c>
      <c r="E22" s="20" t="str">
        <f>'Descr&amp;Quant'!E20</f>
        <v>MS.3.0-A0853</v>
      </c>
      <c r="F22" s="33"/>
      <c r="G22" s="34" t="str">
        <f>'Descr&amp;Quant'!H20</f>
        <v>Mês</v>
      </c>
      <c r="H22" s="23">
        <v>41.08</v>
      </c>
      <c r="I22" s="82">
        <f t="shared" ref="I22" si="3">H22</f>
        <v>41.08</v>
      </c>
      <c r="J22" s="130" t="s">
        <v>142</v>
      </c>
      <c r="K22" s="82">
        <f t="shared" si="0"/>
        <v>246.48</v>
      </c>
      <c r="L22" s="130" t="s">
        <v>142</v>
      </c>
    </row>
    <row r="23" spans="1:15" ht="30" customHeight="1" x14ac:dyDescent="0.25">
      <c r="A23" s="20">
        <f>'Descr&amp;Quant'!A21</f>
        <v>8</v>
      </c>
      <c r="B23" s="26" t="str">
        <f>'Descr&amp;Quant'!B21</f>
        <v>SQLSvrEntCore ALNG LicSAPk MVL 2Lic CoreLic</v>
      </c>
      <c r="C23" s="20" t="str">
        <f>'Descr&amp;Quant'!D21</f>
        <v>7JQ-00341</v>
      </c>
      <c r="D23" s="32">
        <v>12</v>
      </c>
      <c r="E23" s="20" t="str">
        <f>'Descr&amp;Quant'!E21</f>
        <v>MS.3.0-A0459</v>
      </c>
      <c r="F23" s="33" t="str">
        <f>'Descr&amp;Quant'!G21</f>
        <v>SQL Server Enterprise Core</v>
      </c>
      <c r="G23" s="34" t="str">
        <f>'Descr&amp;Quant'!H21</f>
        <v>Anual</v>
      </c>
      <c r="H23" s="23">
        <v>24272.880000000001</v>
      </c>
      <c r="I23" s="82">
        <f>H23/12</f>
        <v>2022.74</v>
      </c>
      <c r="J23" s="79">
        <f t="shared" si="1"/>
        <v>1592.3916666666667</v>
      </c>
      <c r="K23" s="82">
        <f t="shared" si="0"/>
        <v>12136.44</v>
      </c>
      <c r="L23" s="79">
        <v>9554.35</v>
      </c>
    </row>
    <row r="24" spans="1:15" ht="30" customHeight="1" x14ac:dyDescent="0.25">
      <c r="A24" s="20">
        <v>9</v>
      </c>
      <c r="B24" s="26" t="str">
        <f>'Descr&amp;Quant'!B22</f>
        <v>Power BI Premium USL SubVL Per User</v>
      </c>
      <c r="C24" s="20" t="str">
        <f>'Descr&amp;Quant'!D22</f>
        <v xml:space="preserve">68B-00008 </v>
      </c>
      <c r="D24" s="27">
        <v>0</v>
      </c>
      <c r="E24" s="20" t="str">
        <f>'Descr&amp;Quant'!E22</f>
        <v>MS.3.0-A0284</v>
      </c>
      <c r="F24" s="33"/>
      <c r="G24" s="34" t="str">
        <f>'Descr&amp;Quant'!H22</f>
        <v>Mês</v>
      </c>
      <c r="H24" s="23">
        <v>79.77</v>
      </c>
      <c r="I24" s="82">
        <f>H24</f>
        <v>79.77</v>
      </c>
      <c r="J24" s="130" t="s">
        <v>142</v>
      </c>
      <c r="K24" s="82">
        <f>I24*0</f>
        <v>0</v>
      </c>
      <c r="L24" s="130" t="s">
        <v>142</v>
      </c>
    </row>
    <row r="25" spans="1:15" ht="30" customHeight="1" x14ac:dyDescent="0.25">
      <c r="A25" s="20">
        <v>10</v>
      </c>
      <c r="B25" s="26" t="str">
        <f>'Descr&amp;Quant'!B23</f>
        <v>PwrAtmtperusrRPAPln ShrdSvr ALNG SubsVL MVL PerUsr</v>
      </c>
      <c r="C25" s="20" t="str">
        <f>'Descr&amp;Quant'!D23</f>
        <v>1O4-00001</v>
      </c>
      <c r="D25" s="27">
        <v>0</v>
      </c>
      <c r="E25" s="20" t="str">
        <f>'Descr&amp;Quant'!E23</f>
        <v>MS.3.0-A0069</v>
      </c>
      <c r="F25" s="33"/>
      <c r="G25" s="34" t="str">
        <f>'Descr&amp;Quant'!H23</f>
        <v>Mês</v>
      </c>
      <c r="H25" s="23">
        <v>187.69</v>
      </c>
      <c r="I25" s="82">
        <f>H25</f>
        <v>187.69</v>
      </c>
      <c r="J25" s="130" t="s">
        <v>142</v>
      </c>
      <c r="K25" s="82">
        <f>I25*0</f>
        <v>0</v>
      </c>
      <c r="L25" s="130" t="s">
        <v>142</v>
      </c>
    </row>
    <row r="26" spans="1:15" ht="30" customHeight="1" x14ac:dyDescent="0.25">
      <c r="A26" s="20">
        <v>11</v>
      </c>
      <c r="B26" s="26" t="str">
        <f>'Descr&amp;Quant'!B24</f>
        <v>PowerAppsPlan ShrdSvr ALNG SubsVL MVL PerUsr</v>
      </c>
      <c r="C26" s="20" t="str">
        <f>'Descr&amp;Quant'!D24</f>
        <v>SEJ-00002</v>
      </c>
      <c r="D26" s="27">
        <v>0</v>
      </c>
      <c r="E26" s="20" t="str">
        <f>'Descr&amp;Quant'!E24</f>
        <v>MS.3.0-A1702</v>
      </c>
      <c r="F26" s="33"/>
      <c r="G26" s="34" t="str">
        <f>'Descr&amp;Quant'!H24</f>
        <v>Mês</v>
      </c>
      <c r="H26" s="23">
        <v>187.69</v>
      </c>
      <c r="I26" s="82">
        <f>H26</f>
        <v>187.69</v>
      </c>
      <c r="J26" s="130" t="s">
        <v>142</v>
      </c>
      <c r="K26" s="82">
        <f>I26*0</f>
        <v>0</v>
      </c>
      <c r="L26" s="130" t="s">
        <v>142</v>
      </c>
    </row>
    <row r="27" spans="1:15" ht="17.25" x14ac:dyDescent="0.25">
      <c r="A27" s="8"/>
      <c r="B27" s="8"/>
      <c r="C27" s="8"/>
      <c r="D27" s="8"/>
      <c r="E27" s="8"/>
      <c r="F27" s="8"/>
      <c r="G27" s="8"/>
      <c r="H27" s="22"/>
      <c r="I27" s="21"/>
      <c r="J27" s="21"/>
      <c r="K27" s="21"/>
      <c r="L27" s="21"/>
      <c r="M27" s="15"/>
    </row>
    <row r="28" spans="1:15" ht="9" customHeight="1" x14ac:dyDescent="0.3">
      <c r="A28" s="2"/>
      <c r="B28" s="3"/>
      <c r="C28" s="3"/>
      <c r="D28" s="3"/>
      <c r="E28" s="3"/>
      <c r="F28" s="3"/>
      <c r="G28" s="4"/>
      <c r="H28" s="4"/>
      <c r="I28" s="4"/>
      <c r="J28" s="4"/>
      <c r="K28" s="4"/>
      <c r="L28" s="4"/>
      <c r="O28" s="4"/>
    </row>
    <row r="29" spans="1:15" s="7" customFormat="1" ht="15.75" x14ac:dyDescent="0.25">
      <c r="A29" s="88" t="s">
        <v>62</v>
      </c>
      <c r="B29" s="10"/>
      <c r="C29" s="10"/>
      <c r="D29" s="10"/>
      <c r="E29" s="10"/>
      <c r="F29" s="10"/>
      <c r="G29" s="11"/>
      <c r="H29" s="11"/>
      <c r="I29" s="11"/>
      <c r="J29" s="11"/>
      <c r="K29" s="11"/>
      <c r="L29" s="11"/>
      <c r="M29" s="11"/>
      <c r="N29" s="11"/>
      <c r="O29" s="11"/>
    </row>
    <row r="30" spans="1:15" s="7" customFormat="1" ht="9" customHeight="1" x14ac:dyDescent="0.25">
      <c r="A30" s="12"/>
      <c r="B30" s="10"/>
      <c r="C30" s="10"/>
      <c r="D30" s="10"/>
      <c r="E30" s="10"/>
      <c r="F30" s="10"/>
      <c r="G30" s="11"/>
      <c r="H30" s="11"/>
      <c r="I30" s="11"/>
      <c r="J30" s="11"/>
      <c r="K30" s="11"/>
      <c r="L30" s="11"/>
      <c r="M30" s="11"/>
      <c r="N30" s="11"/>
      <c r="O30" s="11"/>
    </row>
    <row r="31" spans="1:15" s="7" customFormat="1" ht="15.75" x14ac:dyDescent="0.25">
      <c r="A31" s="36" t="s">
        <v>63</v>
      </c>
      <c r="B31" s="10"/>
      <c r="C31" s="10"/>
      <c r="D31" s="10"/>
      <c r="E31" s="10"/>
      <c r="F31" s="10"/>
      <c r="G31" s="11"/>
      <c r="H31" s="11"/>
      <c r="I31" s="11"/>
      <c r="J31" s="11"/>
      <c r="K31" s="11"/>
      <c r="L31" s="11"/>
      <c r="M31" s="11"/>
      <c r="N31" s="11"/>
      <c r="O31" s="11"/>
    </row>
    <row r="33" spans="1:17" ht="16.5" customHeight="1" x14ac:dyDescent="0.25">
      <c r="A33" s="247" t="s">
        <v>64</v>
      </c>
      <c r="B33" s="247"/>
      <c r="C33" s="247"/>
      <c r="D33" s="247"/>
      <c r="E33" s="247"/>
      <c r="F33" s="247"/>
      <c r="G33" s="247"/>
      <c r="H33" s="247"/>
      <c r="I33" s="247"/>
      <c r="J33" s="247"/>
      <c r="K33" s="247"/>
      <c r="L33" s="247"/>
      <c r="M33" s="1"/>
      <c r="N33" s="1"/>
      <c r="O33" s="1"/>
      <c r="P33" s="1"/>
      <c r="Q33" s="1"/>
    </row>
    <row r="34" spans="1:17" ht="15" customHeight="1" x14ac:dyDescent="0.25">
      <c r="A34" s="247"/>
      <c r="B34" s="247"/>
      <c r="C34" s="247"/>
      <c r="D34" s="247"/>
      <c r="E34" s="247"/>
      <c r="F34" s="247"/>
      <c r="G34" s="247"/>
      <c r="H34" s="247"/>
      <c r="I34" s="247"/>
      <c r="J34" s="247"/>
      <c r="K34" s="247"/>
      <c r="L34" s="247"/>
    </row>
    <row r="35" spans="1:17" x14ac:dyDescent="0.25">
      <c r="A35" s="248" t="s">
        <v>65</v>
      </c>
      <c r="B35" s="248"/>
      <c r="C35" s="248"/>
      <c r="D35" s="248"/>
      <c r="E35" s="248"/>
      <c r="F35" s="248"/>
      <c r="G35" s="248"/>
      <c r="H35" s="248"/>
      <c r="I35" s="248"/>
      <c r="J35" s="248"/>
      <c r="K35" s="248"/>
      <c r="L35" s="248"/>
    </row>
    <row r="36" spans="1:17" x14ac:dyDescent="0.25">
      <c r="A36" s="248"/>
      <c r="B36" s="248"/>
      <c r="C36" s="248"/>
      <c r="D36" s="248"/>
      <c r="E36" s="248"/>
      <c r="F36" s="248"/>
      <c r="G36" s="248"/>
      <c r="H36" s="248"/>
      <c r="I36" s="248"/>
      <c r="J36" s="248"/>
      <c r="K36" s="248"/>
      <c r="L36" s="248"/>
    </row>
    <row r="38" spans="1:17" ht="15" customHeight="1" x14ac:dyDescent="0.25">
      <c r="A38" s="248" t="s">
        <v>66</v>
      </c>
      <c r="B38" s="248"/>
      <c r="C38" s="248"/>
      <c r="D38" s="248"/>
      <c r="E38" s="248"/>
      <c r="F38" s="248"/>
      <c r="G38" s="248"/>
      <c r="H38" s="248"/>
      <c r="I38" s="248"/>
      <c r="J38" s="248"/>
      <c r="K38" s="248"/>
      <c r="L38" s="248"/>
      <c r="M38" s="80"/>
      <c r="N38" s="80"/>
      <c r="O38" s="80"/>
    </row>
    <row r="39" spans="1:17" x14ac:dyDescent="0.25">
      <c r="A39" s="248"/>
      <c r="B39" s="248"/>
      <c r="C39" s="248"/>
      <c r="D39" s="248"/>
      <c r="E39" s="248"/>
      <c r="F39" s="248"/>
      <c r="G39" s="248"/>
      <c r="H39" s="248"/>
      <c r="I39" s="248"/>
      <c r="J39" s="248"/>
      <c r="K39" s="248"/>
      <c r="L39" s="248"/>
    </row>
  </sheetData>
  <mergeCells count="5">
    <mergeCell ref="A1:L1"/>
    <mergeCell ref="B5:L7"/>
    <mergeCell ref="A33:L34"/>
    <mergeCell ref="A38:L39"/>
    <mergeCell ref="A35:L36"/>
  </mergeCells>
  <pageMargins left="0.7" right="0.7" top="0.75" bottom="0.75" header="0.3" footer="0.3"/>
  <pageSetup paperSize="9" scale="87" orientation="portrait" r:id="rId1"/>
  <ignoredErrors>
    <ignoredError sqref="I14:I15 I23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W46"/>
  <sheetViews>
    <sheetView workbookViewId="0">
      <selection sqref="A1:P1"/>
    </sheetView>
  </sheetViews>
  <sheetFormatPr defaultRowHeight="15" x14ac:dyDescent="0.25"/>
  <cols>
    <col min="1" max="1" width="9.7109375" customWidth="1"/>
    <col min="2" max="2" width="26.140625" customWidth="1"/>
    <col min="3" max="3" width="7.5703125" customWidth="1"/>
    <col min="4" max="4" width="11" bestFit="1" customWidth="1"/>
    <col min="5" max="5" width="11" customWidth="1"/>
    <col min="6" max="6" width="11.5703125" customWidth="1"/>
    <col min="7" max="7" width="11" customWidth="1"/>
    <col min="8" max="8" width="13.28515625" customWidth="1"/>
    <col min="9" max="9" width="15.42578125" customWidth="1"/>
    <col min="10" max="10" width="10.85546875" customWidth="1"/>
    <col min="11" max="11" width="15.5703125" customWidth="1"/>
    <col min="12" max="12" width="13" customWidth="1"/>
    <col min="13" max="13" width="14.140625" customWidth="1"/>
    <col min="14" max="14" width="15.85546875" customWidth="1"/>
    <col min="15" max="15" width="17.85546875" customWidth="1"/>
    <col min="16" max="16" width="17.7109375" customWidth="1"/>
    <col min="17" max="17" width="21.140625" customWidth="1"/>
    <col min="18" max="18" width="17.140625" customWidth="1"/>
    <col min="19" max="19" width="15.42578125" customWidth="1"/>
    <col min="20" max="20" width="17.140625" customWidth="1"/>
    <col min="21" max="21" width="12.5703125" bestFit="1" customWidth="1"/>
    <col min="23" max="23" width="9.85546875" bestFit="1" customWidth="1"/>
    <col min="24" max="24" width="10.28515625" bestFit="1" customWidth="1"/>
  </cols>
  <sheetData>
    <row r="1" spans="1:21" ht="18" thickBot="1" x14ac:dyDescent="0.35">
      <c r="A1" s="241" t="s">
        <v>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3"/>
      <c r="Q1" s="6"/>
      <c r="R1" s="6"/>
      <c r="S1" s="6"/>
      <c r="T1" s="6"/>
    </row>
    <row r="2" spans="1:21" ht="17.2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1"/>
      <c r="R2" s="5"/>
      <c r="S2" s="5"/>
    </row>
    <row r="3" spans="1:21" ht="17.25" x14ac:dyDescent="0.3">
      <c r="A3" s="6" t="s">
        <v>67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1"/>
      <c r="R3" s="5"/>
      <c r="S3" s="5"/>
    </row>
    <row r="4" spans="1:21" ht="17.25" x14ac:dyDescent="0.3">
      <c r="A4" s="6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1"/>
      <c r="R4" s="5"/>
      <c r="S4" s="5"/>
    </row>
    <row r="5" spans="1:21" ht="17.25" customHeight="1" x14ac:dyDescent="0.3">
      <c r="A5" s="6" t="s">
        <v>1</v>
      </c>
      <c r="B5" s="240" t="s">
        <v>68</v>
      </c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14"/>
      <c r="R5" s="14"/>
      <c r="S5" s="14"/>
      <c r="T5" s="14"/>
    </row>
    <row r="6" spans="1:21" ht="17.25" x14ac:dyDescent="0.3">
      <c r="A6" s="5"/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  <c r="O6" s="240"/>
      <c r="P6" s="240"/>
      <c r="Q6" s="14"/>
      <c r="R6" s="14"/>
      <c r="S6" s="14"/>
      <c r="T6" s="14"/>
    </row>
    <row r="7" spans="1:21" ht="17.25" x14ac:dyDescent="0.3">
      <c r="A7" s="5"/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19"/>
      <c r="R7" s="19"/>
    </row>
    <row r="8" spans="1:21" ht="17.25" x14ac:dyDescent="0.3">
      <c r="A8" s="5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</row>
    <row r="9" spans="1:21" ht="16.5" customHeight="1" x14ac:dyDescent="0.3">
      <c r="A9" s="6" t="s">
        <v>69</v>
      </c>
      <c r="B9" s="1"/>
      <c r="C9" s="1"/>
      <c r="E9" s="6"/>
      <c r="F9" s="6"/>
      <c r="G9" s="6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21" ht="16.5" customHeight="1" x14ac:dyDescent="0.3">
      <c r="A10" s="1"/>
      <c r="B10" s="1"/>
      <c r="C10" s="1"/>
      <c r="E10" s="6"/>
      <c r="F10" s="6"/>
      <c r="G10" s="6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21" ht="22.5" customHeight="1" x14ac:dyDescent="0.25">
      <c r="A11" s="249" t="s">
        <v>3</v>
      </c>
      <c r="B11" s="249" t="s">
        <v>55</v>
      </c>
      <c r="C11" s="249" t="s">
        <v>6</v>
      </c>
      <c r="D11" s="249" t="str">
        <f>'Descr&amp;Quant'!J9</f>
        <v>Quant. meses / ano (ANM)</v>
      </c>
      <c r="E11" s="256" t="s">
        <v>70</v>
      </c>
      <c r="F11" s="256"/>
      <c r="G11" s="256"/>
      <c r="H11" s="256"/>
      <c r="I11" s="257" t="s">
        <v>71</v>
      </c>
      <c r="J11" s="249" t="s">
        <v>72</v>
      </c>
      <c r="K11" s="249" t="s">
        <v>73</v>
      </c>
      <c r="L11" s="249" t="s">
        <v>74</v>
      </c>
      <c r="M11" s="249" t="s">
        <v>75</v>
      </c>
      <c r="N11" s="250" t="s">
        <v>76</v>
      </c>
      <c r="O11" s="251" t="s">
        <v>77</v>
      </c>
      <c r="P11" s="252" t="s">
        <v>78</v>
      </c>
    </row>
    <row r="12" spans="1:21" ht="51" customHeight="1" x14ac:dyDescent="0.25">
      <c r="A12" s="249"/>
      <c r="B12" s="249"/>
      <c r="C12" s="249"/>
      <c r="D12" s="249"/>
      <c r="E12" s="35" t="s">
        <v>79</v>
      </c>
      <c r="F12" s="35" t="s">
        <v>80</v>
      </c>
      <c r="G12" s="35" t="s">
        <v>81</v>
      </c>
      <c r="H12" s="35" t="s">
        <v>82</v>
      </c>
      <c r="I12" s="257"/>
      <c r="J12" s="249"/>
      <c r="K12" s="249"/>
      <c r="L12" s="249"/>
      <c r="M12" s="249"/>
      <c r="N12" s="250"/>
      <c r="O12" s="251"/>
      <c r="P12" s="252"/>
    </row>
    <row r="13" spans="1:21" ht="30" customHeight="1" x14ac:dyDescent="0.25">
      <c r="A13" s="34">
        <f>'Descr&amp;Quant'!A10</f>
        <v>1</v>
      </c>
      <c r="B13" s="37" t="str">
        <f>'Descr&amp;Quant'!B10</f>
        <v>CISSteStdCore ALNG LicSAPk MVL 2Lic CoreLic</v>
      </c>
      <c r="C13" s="20" t="str">
        <f>'Descr&amp;Quant'!D10</f>
        <v>9GA-00006</v>
      </c>
      <c r="D13" s="34">
        <f>'Descr&amp;Quant'!J10</f>
        <v>36</v>
      </c>
      <c r="E13" s="43" t="e">
        <f>#REF!</f>
        <v>#REF!</v>
      </c>
      <c r="F13" s="67" t="e">
        <f>#REF!</f>
        <v>#REF!</v>
      </c>
      <c r="G13" s="45">
        <f>'Catálogo SGD'!I12</f>
        <v>32.653333333333329</v>
      </c>
      <c r="H13" s="46" t="e">
        <f>#REF!</f>
        <v>#REF!</v>
      </c>
      <c r="I13" s="42" t="e">
        <f>AVERAGE(E13:H13)</f>
        <v>#REF!</v>
      </c>
      <c r="J13" s="9" t="e">
        <f>_xlfn.STDEV.S(E13:H13)</f>
        <v>#REF!</v>
      </c>
      <c r="K13" s="38" t="e">
        <f>J13/I13</f>
        <v>#REF!</v>
      </c>
      <c r="L13" s="39" t="e">
        <f>I13-J13</f>
        <v>#REF!</v>
      </c>
      <c r="M13" s="40" t="e">
        <f>I13+J13</f>
        <v>#REF!</v>
      </c>
      <c r="N13" s="25" t="e">
        <f>AVERAGE(G13:H13,E13)</f>
        <v>#REF!</v>
      </c>
      <c r="O13" s="47" t="e">
        <f>N13</f>
        <v>#REF!</v>
      </c>
      <c r="P13" s="68">
        <f>140.88/6</f>
        <v>23.48</v>
      </c>
      <c r="Q13" s="18"/>
      <c r="T13" s="15"/>
      <c r="U13" s="15"/>
    </row>
    <row r="14" spans="1:21" ht="30" customHeight="1" x14ac:dyDescent="0.25">
      <c r="A14" s="34">
        <f>'Descr&amp;Quant'!A11</f>
        <v>2</v>
      </c>
      <c r="B14" s="37" t="str">
        <f>'Descr&amp;Quant'!B11</f>
        <v>CISSteDCCore ALNG LicSAPk MVL 2Lic CoreLic</v>
      </c>
      <c r="C14" s="20" t="str">
        <f>'Descr&amp;Quant'!D11</f>
        <v>9GS-00495</v>
      </c>
      <c r="D14" s="34">
        <f>'Descr&amp;Quant'!J11</f>
        <v>36</v>
      </c>
      <c r="E14" s="43" t="e">
        <f>#REF!</f>
        <v>#REF!</v>
      </c>
      <c r="F14" s="67" t="e">
        <f>#REF!</f>
        <v>#REF!</v>
      </c>
      <c r="G14" s="63">
        <f>'Catálogo SGD'!I13</f>
        <v>133.56416666666667</v>
      </c>
      <c r="H14" s="46" t="e">
        <f>#REF!</f>
        <v>#REF!</v>
      </c>
      <c r="I14" s="42" t="e">
        <f t="shared" ref="I14:I20" si="0">AVERAGE(E14:H14)</f>
        <v>#REF!</v>
      </c>
      <c r="J14" s="9" t="e">
        <f t="shared" ref="J14:J20" si="1">_xlfn.STDEV.S(E14:H14)</f>
        <v>#REF!</v>
      </c>
      <c r="K14" s="38" t="e">
        <f t="shared" ref="K14:K20" si="2">J14/I14</f>
        <v>#REF!</v>
      </c>
      <c r="L14" s="39" t="e">
        <f t="shared" ref="L14:L20" si="3">I14-J14</f>
        <v>#REF!</v>
      </c>
      <c r="M14" s="40" t="e">
        <f t="shared" ref="M14:M20" si="4">I14+J14</f>
        <v>#REF!</v>
      </c>
      <c r="N14" s="25" t="e">
        <f>AVERAGE(E14,H14)</f>
        <v>#REF!</v>
      </c>
      <c r="O14" s="47" t="e">
        <f t="shared" ref="O14:O19" si="5">N14</f>
        <v>#REF!</v>
      </c>
      <c r="P14" s="68">
        <f>605.76/6</f>
        <v>100.96</v>
      </c>
      <c r="Q14" s="18"/>
      <c r="T14" s="15"/>
      <c r="U14" s="15"/>
    </row>
    <row r="15" spans="1:21" ht="30" customHeight="1" x14ac:dyDescent="0.25">
      <c r="A15" s="34">
        <f>'Descr&amp;Quant'!A12</f>
        <v>3</v>
      </c>
      <c r="B15" s="37" t="str">
        <f>'Descr&amp;Quant'!B12</f>
        <v>Project Plan3 Shared All Lng Subs VL MVL Per User</v>
      </c>
      <c r="C15" s="20" t="str">
        <f>'Descr&amp;Quant'!D12</f>
        <v>7LS-00002</v>
      </c>
      <c r="D15" s="34">
        <f>'Descr&amp;Quant'!J12</f>
        <v>36</v>
      </c>
      <c r="E15" s="43" t="e">
        <f>#REF!</f>
        <v>#REF!</v>
      </c>
      <c r="F15" s="44" t="e">
        <f>#REF!</f>
        <v>#REF!</v>
      </c>
      <c r="G15" s="63">
        <f>'Catálogo SGD'!I14</f>
        <v>119.69</v>
      </c>
      <c r="H15" s="46" t="e">
        <f>#REF!</f>
        <v>#REF!</v>
      </c>
      <c r="I15" s="42" t="e">
        <f t="shared" si="0"/>
        <v>#REF!</v>
      </c>
      <c r="J15" s="9" t="e">
        <f t="shared" si="1"/>
        <v>#REF!</v>
      </c>
      <c r="K15" s="38" t="e">
        <f t="shared" si="2"/>
        <v>#REF!</v>
      </c>
      <c r="L15" s="39" t="e">
        <f t="shared" si="3"/>
        <v>#REF!</v>
      </c>
      <c r="M15" s="40" t="e">
        <f t="shared" si="4"/>
        <v>#REF!</v>
      </c>
      <c r="N15" s="25" t="e">
        <f>AVERAGE(E15:F15,H15)</f>
        <v>#REF!</v>
      </c>
      <c r="O15" s="47" t="e">
        <f t="shared" si="5"/>
        <v>#REF!</v>
      </c>
      <c r="P15" s="41">
        <f>714.08/6</f>
        <v>119.01333333333334</v>
      </c>
      <c r="Q15" s="18"/>
      <c r="T15" s="15"/>
      <c r="U15" s="15"/>
    </row>
    <row r="16" spans="1:21" ht="30" customHeight="1" x14ac:dyDescent="0.25">
      <c r="A16" s="34">
        <f>'Descr&amp;Quant'!A13</f>
        <v>4</v>
      </c>
      <c r="B16" s="37" t="str">
        <f>'Descr&amp;Quant'!B13</f>
        <v>VSEntSubMSDN ALNG LicSAPk MVL</v>
      </c>
      <c r="C16" s="20" t="str">
        <f>'Descr&amp;Quant'!D13</f>
        <v>MX3-00115</v>
      </c>
      <c r="D16" s="34">
        <f>'Descr&amp;Quant'!J13</f>
        <v>36</v>
      </c>
      <c r="E16" s="62" t="e">
        <f>#REF!</f>
        <v>#REF!</v>
      </c>
      <c r="F16" s="44" t="e">
        <f>#REF!</f>
        <v>#REF!</v>
      </c>
      <c r="G16" s="45">
        <f>'Catálogo SGD'!I15</f>
        <v>1071.875</v>
      </c>
      <c r="H16" s="46" t="e">
        <f>#REF!</f>
        <v>#REF!</v>
      </c>
      <c r="I16" s="42" t="e">
        <f t="shared" si="0"/>
        <v>#REF!</v>
      </c>
      <c r="J16" s="9" t="e">
        <f t="shared" si="1"/>
        <v>#REF!</v>
      </c>
      <c r="K16" s="38" t="e">
        <f t="shared" si="2"/>
        <v>#REF!</v>
      </c>
      <c r="L16" s="39" t="e">
        <f t="shared" si="3"/>
        <v>#REF!</v>
      </c>
      <c r="M16" s="40" t="e">
        <f t="shared" si="4"/>
        <v>#REF!</v>
      </c>
      <c r="N16" s="25" t="e">
        <f>AVERAGE(F16:H16)</f>
        <v>#REF!</v>
      </c>
      <c r="O16" s="47" t="e">
        <f t="shared" si="5"/>
        <v>#REF!</v>
      </c>
      <c r="P16" s="68">
        <f>5090.2/6</f>
        <v>848.36666666666667</v>
      </c>
      <c r="Q16" s="18"/>
      <c r="T16" s="15"/>
      <c r="U16" s="15"/>
    </row>
    <row r="17" spans="1:23" ht="30" customHeight="1" x14ac:dyDescent="0.25">
      <c r="A17" s="34">
        <f>'Descr&amp;Quant'!A14</f>
        <v>5</v>
      </c>
      <c r="B17" s="37" t="str">
        <f>'Descr&amp;Quant'!B14</f>
        <v>VisioPlan2 ShrdSvr ALNG SubsVL MVL PerUsr</v>
      </c>
      <c r="C17" s="20" t="str">
        <f>'Descr&amp;Quant'!D14</f>
        <v>N9U-00002</v>
      </c>
      <c r="D17" s="34">
        <f>'Descr&amp;Quant'!J14</f>
        <v>36</v>
      </c>
      <c r="E17" s="43" t="e">
        <f>#REF!</f>
        <v>#REF!</v>
      </c>
      <c r="F17" s="44" t="e">
        <f>#REF!</f>
        <v>#REF!</v>
      </c>
      <c r="G17" s="63">
        <f>'Catálogo SGD'!I16</f>
        <v>59.85</v>
      </c>
      <c r="H17" s="46" t="e">
        <f>#REF!</f>
        <v>#REF!</v>
      </c>
      <c r="I17" s="42" t="e">
        <f t="shared" si="0"/>
        <v>#REF!</v>
      </c>
      <c r="J17" s="9" t="e">
        <f t="shared" si="1"/>
        <v>#REF!</v>
      </c>
      <c r="K17" s="38" t="e">
        <f t="shared" si="2"/>
        <v>#REF!</v>
      </c>
      <c r="L17" s="39" t="e">
        <f t="shared" si="3"/>
        <v>#REF!</v>
      </c>
      <c r="M17" s="40" t="e">
        <f t="shared" si="4"/>
        <v>#REF!</v>
      </c>
      <c r="N17" s="25" t="e">
        <f>AVERAGE(E17:F17,H17)</f>
        <v>#REF!</v>
      </c>
      <c r="O17" s="47" t="e">
        <f t="shared" si="5"/>
        <v>#REF!</v>
      </c>
      <c r="P17" s="41">
        <f>547.19/6</f>
        <v>91.198333333333338</v>
      </c>
      <c r="Q17" s="18"/>
      <c r="T17" s="15"/>
      <c r="U17" s="15"/>
    </row>
    <row r="18" spans="1:23" ht="30" customHeight="1" x14ac:dyDescent="0.25">
      <c r="A18" s="34" t="str">
        <f>'Descr&amp;Quant'!A15</f>
        <v>6.1</v>
      </c>
      <c r="B18" s="37" t="str">
        <f>'Descr&amp;Quant'!B15</f>
        <v>M365 E3 ShrdSvr ALNG SubsVL MVL PerUsr (Original)</v>
      </c>
      <c r="C18" s="20" t="str">
        <f>'Descr&amp;Quant'!D15</f>
        <v>AAA-10756</v>
      </c>
      <c r="D18" s="34">
        <f>'Descr&amp;Quant'!J15</f>
        <v>36</v>
      </c>
      <c r="E18" s="43" t="e">
        <f>#REF!</f>
        <v>#REF!</v>
      </c>
      <c r="F18" s="44"/>
      <c r="G18" s="63">
        <f>'Catálogo SGD'!I17</f>
        <v>158.30000000000001</v>
      </c>
      <c r="H18" s="46" t="e">
        <f>#REF!</f>
        <v>#REF!</v>
      </c>
      <c r="I18" s="42" t="e">
        <f t="shared" si="0"/>
        <v>#REF!</v>
      </c>
      <c r="J18" s="9" t="e">
        <f t="shared" si="1"/>
        <v>#REF!</v>
      </c>
      <c r="K18" s="38" t="e">
        <f t="shared" si="2"/>
        <v>#REF!</v>
      </c>
      <c r="L18" s="39" t="e">
        <f t="shared" si="3"/>
        <v>#REF!</v>
      </c>
      <c r="M18" s="40" t="e">
        <f t="shared" si="4"/>
        <v>#REF!</v>
      </c>
      <c r="N18" s="25" t="e">
        <f>AVERAGE(E18,H18)</f>
        <v>#REF!</v>
      </c>
      <c r="O18" s="47" t="e">
        <f t="shared" si="5"/>
        <v>#REF!</v>
      </c>
      <c r="P18" s="68">
        <f>763.16/6</f>
        <v>127.19333333333333</v>
      </c>
      <c r="Q18" s="18"/>
      <c r="T18" s="15"/>
      <c r="U18" s="15"/>
    </row>
    <row r="19" spans="1:23" ht="30" customHeight="1" x14ac:dyDescent="0.25">
      <c r="A19" s="34" t="str">
        <f>'Descr&amp;Quant'!A18</f>
        <v>7.1</v>
      </c>
      <c r="B19" s="37" t="str">
        <f>'Descr&amp;Quant'!B18</f>
        <v>M365 E5 ShrdSvr ALNG SubsVL MVL PerUsr (Original)</v>
      </c>
      <c r="C19" s="20" t="str">
        <f>'Descr&amp;Quant'!D18</f>
        <v>AAA-28605</v>
      </c>
      <c r="D19" s="34">
        <f>'Descr&amp;Quant'!J18</f>
        <v>36</v>
      </c>
      <c r="E19" s="43" t="e">
        <f>#REF!</f>
        <v>#REF!</v>
      </c>
      <c r="F19" s="44" t="e">
        <f>#REF!</f>
        <v>#REF!</v>
      </c>
      <c r="G19" s="63">
        <f>'Catálogo SGD'!I20</f>
        <v>274.54000000000002</v>
      </c>
      <c r="H19" s="46" t="e">
        <f>#REF!</f>
        <v>#REF!</v>
      </c>
      <c r="I19" s="42" t="e">
        <f t="shared" si="0"/>
        <v>#REF!</v>
      </c>
      <c r="J19" s="9" t="e">
        <f t="shared" si="1"/>
        <v>#REF!</v>
      </c>
      <c r="K19" s="38" t="e">
        <f t="shared" si="2"/>
        <v>#REF!</v>
      </c>
      <c r="L19" s="39" t="e">
        <f t="shared" si="3"/>
        <v>#REF!</v>
      </c>
      <c r="M19" s="40" t="e">
        <f t="shared" si="4"/>
        <v>#REF!</v>
      </c>
      <c r="N19" s="25" t="e">
        <f>AVERAGE(E19:F19,H19)</f>
        <v>#REF!</v>
      </c>
      <c r="O19" s="47" t="e">
        <f t="shared" si="5"/>
        <v>#REF!</v>
      </c>
      <c r="P19" s="41">
        <f>1360.08/6</f>
        <v>226.67999999999998</v>
      </c>
      <c r="Q19" s="18"/>
      <c r="T19" s="15"/>
      <c r="U19" s="15"/>
    </row>
    <row r="20" spans="1:23" ht="30" customHeight="1" x14ac:dyDescent="0.25">
      <c r="A20" s="34">
        <f>'Descr&amp;Quant'!A21</f>
        <v>8</v>
      </c>
      <c r="B20" s="37" t="str">
        <f>'Descr&amp;Quant'!B21</f>
        <v>SQLSvrEntCore ALNG LicSAPk MVL 2Lic CoreLic</v>
      </c>
      <c r="C20" s="20" t="str">
        <f>'Descr&amp;Quant'!D21</f>
        <v>7JQ-00341</v>
      </c>
      <c r="D20" s="34">
        <f>'Descr&amp;Quant'!J21</f>
        <v>36</v>
      </c>
      <c r="E20" s="43" t="e">
        <f>#REF!</f>
        <v>#REF!</v>
      </c>
      <c r="F20" s="44" t="e">
        <f>#REF!</f>
        <v>#REF!</v>
      </c>
      <c r="G20" s="45">
        <f>'Catálogo SGD'!I23</f>
        <v>2022.74</v>
      </c>
      <c r="H20" s="46" t="e">
        <f>#REF!</f>
        <v>#REF!</v>
      </c>
      <c r="I20" s="42" t="e">
        <f t="shared" si="0"/>
        <v>#REF!</v>
      </c>
      <c r="J20" s="9" t="e">
        <f t="shared" si="1"/>
        <v>#REF!</v>
      </c>
      <c r="K20" s="38" t="e">
        <f t="shared" si="2"/>
        <v>#REF!</v>
      </c>
      <c r="L20" s="39" t="e">
        <f t="shared" si="3"/>
        <v>#REF!</v>
      </c>
      <c r="M20" s="40" t="e">
        <f t="shared" si="4"/>
        <v>#REF!</v>
      </c>
      <c r="N20" s="25" t="e">
        <f>AVERAGE(E20:H20)</f>
        <v>#REF!</v>
      </c>
      <c r="O20" s="47" t="e">
        <f>N20</f>
        <v>#REF!</v>
      </c>
      <c r="P20" s="68">
        <f>9554.35/6</f>
        <v>1592.3916666666667</v>
      </c>
      <c r="Q20" s="18"/>
      <c r="T20" s="15"/>
      <c r="U20" s="15"/>
    </row>
    <row r="21" spans="1:23" ht="17.25" x14ac:dyDescent="0.25">
      <c r="A21" s="253" t="s">
        <v>83</v>
      </c>
      <c r="B21" s="254"/>
      <c r="C21" s="254"/>
      <c r="D21" s="254"/>
      <c r="E21" s="254"/>
      <c r="F21" s="254"/>
      <c r="G21" s="254"/>
      <c r="H21" s="254"/>
      <c r="I21" s="254"/>
      <c r="J21" s="254"/>
      <c r="K21" s="254"/>
      <c r="L21" s="254"/>
      <c r="M21" s="254"/>
      <c r="N21" s="255"/>
      <c r="O21" s="47" t="e">
        <f>SUM(O13:O20)</f>
        <v>#REF!</v>
      </c>
      <c r="P21" s="69">
        <f>SUM(P13:P20)</f>
        <v>3129.2833333333333</v>
      </c>
      <c r="Q21" s="15"/>
      <c r="S21" s="18"/>
      <c r="T21" s="15"/>
      <c r="V21" s="15"/>
      <c r="W21" s="15"/>
    </row>
    <row r="22" spans="1:23" ht="16.5" customHeight="1" x14ac:dyDescent="0.3">
      <c r="A22" s="1"/>
      <c r="B22" s="1"/>
      <c r="C22" s="1"/>
      <c r="E22" s="6"/>
      <c r="F22" s="6"/>
      <c r="G22" s="6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23" ht="16.5" customHeight="1" x14ac:dyDescent="0.3">
      <c r="A23" s="61" t="s">
        <v>84</v>
      </c>
      <c r="E23" s="6"/>
      <c r="F23" s="6"/>
      <c r="G23" s="6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23" ht="16.5" customHeight="1" x14ac:dyDescent="0.3">
      <c r="A24" s="61"/>
      <c r="E24" s="6"/>
      <c r="F24" s="6"/>
      <c r="G24" s="6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23" s="7" customFormat="1" ht="18.75" customHeight="1" x14ac:dyDescent="0.25">
      <c r="A25" s="247" t="s">
        <v>85</v>
      </c>
      <c r="B25" s="247"/>
      <c r="C25" s="247"/>
      <c r="D25" s="247"/>
      <c r="E25" s="247"/>
      <c r="F25" s="247"/>
      <c r="G25" s="247"/>
      <c r="H25" s="247"/>
      <c r="I25" s="247"/>
      <c r="J25" s="247"/>
      <c r="K25" s="247"/>
      <c r="L25" s="247"/>
      <c r="M25" s="247"/>
      <c r="N25" s="247"/>
      <c r="O25" s="247"/>
      <c r="P25" s="247"/>
      <c r="Q25" s="78"/>
      <c r="R25" s="78"/>
      <c r="S25" s="78"/>
      <c r="T25" s="78"/>
      <c r="U25" s="78"/>
      <c r="V25" s="78"/>
    </row>
    <row r="26" spans="1:23" ht="15" customHeight="1" x14ac:dyDescent="0.25">
      <c r="A26" s="247"/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  <c r="Q26" s="78"/>
      <c r="R26" s="78"/>
      <c r="S26" s="78"/>
      <c r="T26" s="78"/>
      <c r="U26" s="78"/>
      <c r="V26" s="78"/>
    </row>
    <row r="27" spans="1:23" ht="16.5" customHeight="1" x14ac:dyDescent="0.3">
      <c r="A27" s="61"/>
      <c r="E27" s="6"/>
      <c r="F27" s="6"/>
      <c r="G27" s="6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23" ht="16.5" customHeight="1" x14ac:dyDescent="0.3">
      <c r="A28" s="61" t="s">
        <v>86</v>
      </c>
      <c r="E28" s="6"/>
      <c r="F28" s="6"/>
      <c r="G28" s="6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23" ht="16.5" customHeight="1" x14ac:dyDescent="0.3">
      <c r="A29" s="61"/>
      <c r="E29" s="6"/>
      <c r="F29" s="6"/>
      <c r="G29" s="6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23" x14ac:dyDescent="0.25">
      <c r="A30" s="248" t="s">
        <v>87</v>
      </c>
      <c r="B30" s="248"/>
      <c r="C30" s="248"/>
      <c r="D30" s="248"/>
      <c r="E30" s="248"/>
      <c r="F30" s="248"/>
      <c r="G30" s="248"/>
      <c r="H30" s="248"/>
      <c r="I30" s="248"/>
      <c r="J30" s="248"/>
      <c r="K30" s="248"/>
      <c r="L30" s="248"/>
      <c r="M30" s="248"/>
      <c r="N30" s="248"/>
      <c r="O30" s="248"/>
      <c r="P30" s="248"/>
    </row>
    <row r="31" spans="1:23" x14ac:dyDescent="0.25">
      <c r="A31" s="248"/>
      <c r="B31" s="248"/>
      <c r="C31" s="248"/>
      <c r="D31" s="248"/>
      <c r="E31" s="248"/>
      <c r="F31" s="248"/>
      <c r="G31" s="248"/>
      <c r="H31" s="248"/>
      <c r="I31" s="248"/>
      <c r="J31" s="248"/>
      <c r="K31" s="248"/>
      <c r="L31" s="248"/>
      <c r="M31" s="248"/>
      <c r="N31" s="248"/>
      <c r="O31" s="248"/>
      <c r="P31" s="248"/>
    </row>
    <row r="35" spans="1:17" ht="15" customHeight="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</row>
    <row r="36" spans="1:17" ht="15" customHeight="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</row>
    <row r="37" spans="1:17" ht="15" customHeight="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</row>
    <row r="38" spans="1:17" ht="15" customHeight="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</row>
    <row r="39" spans="1:17" ht="15" customHeight="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</row>
    <row r="40" spans="1:17" ht="15" customHeight="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</row>
    <row r="41" spans="1:17" ht="15" customHeight="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</row>
    <row r="42" spans="1:17" ht="15" customHeight="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</row>
    <row r="43" spans="1:17" ht="15" customHeight="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</row>
    <row r="44" spans="1:17" ht="15" customHeight="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</row>
    <row r="45" spans="1:17" ht="15" customHeight="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</row>
    <row r="46" spans="1:17" ht="15" customHeight="1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</row>
  </sheetData>
  <mergeCells count="18">
    <mergeCell ref="A1:P1"/>
    <mergeCell ref="B5:P7"/>
    <mergeCell ref="A11:A12"/>
    <mergeCell ref="B11:B12"/>
    <mergeCell ref="C11:C12"/>
    <mergeCell ref="D11:D12"/>
    <mergeCell ref="E11:H11"/>
    <mergeCell ref="I11:I12"/>
    <mergeCell ref="J11:J12"/>
    <mergeCell ref="K11:K12"/>
    <mergeCell ref="A25:P26"/>
    <mergeCell ref="A30:P31"/>
    <mergeCell ref="L11:L12"/>
    <mergeCell ref="M11:M12"/>
    <mergeCell ref="N11:N12"/>
    <mergeCell ref="O11:O12"/>
    <mergeCell ref="P11:P12"/>
    <mergeCell ref="A21:N21"/>
  </mergeCells>
  <pageMargins left="0.7" right="0.7" top="0.75" bottom="0.75" header="0.3" footer="0.3"/>
  <pageSetup paperSize="9" scale="8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F53"/>
  <sheetViews>
    <sheetView topLeftCell="A13" zoomScaleNormal="100" workbookViewId="0">
      <selection activeCell="L11" sqref="L11"/>
    </sheetView>
  </sheetViews>
  <sheetFormatPr defaultRowHeight="15" x14ac:dyDescent="0.25"/>
  <cols>
    <col min="1" max="1" width="9.7109375" customWidth="1"/>
    <col min="2" max="2" width="46.5703125" bestFit="1" customWidth="1"/>
    <col min="3" max="3" width="44.28515625" bestFit="1" customWidth="1"/>
    <col min="4" max="4" width="12.140625" customWidth="1"/>
    <col min="5" max="5" width="12.7109375" customWidth="1"/>
    <col min="6" max="7" width="12.28515625" customWidth="1"/>
    <col min="8" max="8" width="14.5703125" customWidth="1"/>
    <col min="9" max="14" width="14" customWidth="1"/>
    <col min="15" max="15" width="16.28515625" customWidth="1"/>
    <col min="16" max="18" width="16.140625" customWidth="1"/>
    <col min="19" max="19" width="15.85546875" customWidth="1"/>
    <col min="20" max="20" width="21.140625" customWidth="1"/>
    <col min="21" max="21" width="17.140625" customWidth="1"/>
    <col min="22" max="22" width="15.42578125" customWidth="1"/>
    <col min="23" max="23" width="17.140625" customWidth="1"/>
    <col min="24" max="24" width="12.5703125" bestFit="1" customWidth="1"/>
    <col min="26" max="26" width="9.85546875" bestFit="1" customWidth="1"/>
    <col min="27" max="27" width="10.28515625" bestFit="1" customWidth="1"/>
  </cols>
  <sheetData>
    <row r="1" spans="1:24" ht="18" thickBot="1" x14ac:dyDescent="0.35">
      <c r="A1" s="241" t="s">
        <v>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3"/>
      <c r="P1" s="91"/>
      <c r="Q1" s="91"/>
      <c r="R1" s="91"/>
      <c r="S1" s="91"/>
      <c r="T1" s="6"/>
      <c r="U1" s="6"/>
      <c r="V1" s="6"/>
      <c r="W1" s="6"/>
    </row>
    <row r="2" spans="1:24" ht="17.2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U2" s="5"/>
      <c r="V2" s="5"/>
    </row>
    <row r="3" spans="1:24" ht="17.25" x14ac:dyDescent="0.3">
      <c r="A3" s="6" t="s">
        <v>88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U3" s="5"/>
      <c r="V3" s="5"/>
    </row>
    <row r="4" spans="1:24" ht="17.25" x14ac:dyDescent="0.3">
      <c r="A4" s="6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U4" s="5"/>
      <c r="V4" s="5"/>
    </row>
    <row r="5" spans="1:24" ht="17.25" customHeight="1" x14ac:dyDescent="0.3">
      <c r="A5" s="6" t="s">
        <v>1</v>
      </c>
      <c r="B5" s="240" t="s">
        <v>2</v>
      </c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19"/>
      <c r="Q5" s="19"/>
      <c r="R5" s="19"/>
      <c r="S5" s="19"/>
      <c r="T5" s="14"/>
      <c r="U5" s="14"/>
      <c r="V5" s="14"/>
      <c r="W5" s="14"/>
    </row>
    <row r="6" spans="1:24" ht="17.25" x14ac:dyDescent="0.3">
      <c r="A6" s="5"/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  <c r="O6" s="240"/>
      <c r="P6" s="19"/>
      <c r="Q6" s="19"/>
      <c r="R6" s="19"/>
      <c r="S6" s="19"/>
      <c r="T6" s="14"/>
      <c r="U6" s="14"/>
      <c r="V6" s="14"/>
      <c r="W6" s="14"/>
    </row>
    <row r="7" spans="1:24" ht="17.25" x14ac:dyDescent="0.3">
      <c r="A7" s="5"/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0"/>
      <c r="N7" s="240"/>
      <c r="O7" s="240"/>
      <c r="P7" s="19"/>
      <c r="Q7" s="19"/>
      <c r="R7" s="19"/>
      <c r="S7" s="19"/>
      <c r="T7" s="14"/>
      <c r="U7" s="14"/>
      <c r="V7" s="14"/>
      <c r="W7" s="14"/>
    </row>
    <row r="8" spans="1:24" ht="17.25" x14ac:dyDescent="0.3">
      <c r="A8" s="5"/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19"/>
      <c r="Q8" s="19"/>
      <c r="R8" s="19"/>
      <c r="S8" s="19"/>
      <c r="T8" s="14"/>
      <c r="U8" s="14"/>
      <c r="V8" s="14"/>
      <c r="W8" s="14"/>
    </row>
    <row r="9" spans="1:24" ht="16.5" customHeight="1" x14ac:dyDescent="0.3">
      <c r="A9" s="1"/>
      <c r="B9" s="1"/>
      <c r="C9" s="1"/>
      <c r="D9" s="1"/>
      <c r="O9" s="6"/>
      <c r="P9" s="6"/>
      <c r="Q9" s="6"/>
      <c r="R9" s="6"/>
      <c r="S9" s="6"/>
      <c r="T9" s="1"/>
      <c r="U9" s="1"/>
    </row>
    <row r="10" spans="1:24" ht="22.5" customHeight="1" x14ac:dyDescent="0.25">
      <c r="A10" s="249" t="s">
        <v>3</v>
      </c>
      <c r="B10" s="249" t="s">
        <v>89</v>
      </c>
      <c r="C10" s="249" t="s">
        <v>90</v>
      </c>
      <c r="D10" s="249" t="s">
        <v>6</v>
      </c>
      <c r="E10" s="249" t="str">
        <f>'Descr&amp;Quant'!J9</f>
        <v>Quant. meses / ano (ANM)</v>
      </c>
      <c r="F10" s="258" t="s">
        <v>91</v>
      </c>
      <c r="G10" s="258" t="s">
        <v>92</v>
      </c>
      <c r="H10" s="260" t="s">
        <v>93</v>
      </c>
      <c r="I10" s="261"/>
      <c r="J10" s="261"/>
      <c r="K10" s="261"/>
      <c r="L10" s="261"/>
      <c r="M10" s="261"/>
      <c r="N10" s="261"/>
      <c r="O10" s="262" t="s">
        <v>169</v>
      </c>
      <c r="P10" s="263"/>
      <c r="Q10" s="263"/>
      <c r="R10" s="263"/>
      <c r="S10" s="263"/>
    </row>
    <row r="11" spans="1:24" ht="78.75" x14ac:dyDescent="0.25">
      <c r="A11" s="249"/>
      <c r="B11" s="249"/>
      <c r="C11" s="249"/>
      <c r="D11" s="249"/>
      <c r="E11" s="249"/>
      <c r="F11" s="259"/>
      <c r="G11" s="259"/>
      <c r="H11" s="35" t="s">
        <v>94</v>
      </c>
      <c r="I11" s="35" t="s">
        <v>95</v>
      </c>
      <c r="J11" s="104" t="s">
        <v>143</v>
      </c>
      <c r="K11" s="104" t="s">
        <v>96</v>
      </c>
      <c r="L11" s="35" t="s">
        <v>144</v>
      </c>
      <c r="M11" s="104" t="s">
        <v>97</v>
      </c>
      <c r="N11" s="35" t="s">
        <v>145</v>
      </c>
      <c r="O11" s="35" t="s">
        <v>98</v>
      </c>
      <c r="P11" s="35" t="s">
        <v>99</v>
      </c>
      <c r="Q11" s="35" t="s">
        <v>100</v>
      </c>
      <c r="R11" s="101" t="s">
        <v>136</v>
      </c>
      <c r="S11" s="102" t="s">
        <v>137</v>
      </c>
    </row>
    <row r="12" spans="1:24" ht="30" customHeight="1" x14ac:dyDescent="0.25">
      <c r="A12" s="34">
        <f>'Descr&amp;Quant'!A10</f>
        <v>1</v>
      </c>
      <c r="B12" s="37" t="str">
        <f>'Descr&amp;Quant'!B10</f>
        <v>CISSteStdCore ALNG LicSAPk MVL 2Lic CoreLic</v>
      </c>
      <c r="C12" s="37" t="s">
        <v>101</v>
      </c>
      <c r="D12" s="20" t="str">
        <f>'Descr&amp;Quant'!D10</f>
        <v>9GA-00006</v>
      </c>
      <c r="E12" s="158">
        <f>'Descr&amp;Quant'!J10</f>
        <v>36</v>
      </c>
      <c r="F12" s="163">
        <v>350</v>
      </c>
      <c r="G12" s="163">
        <v>284</v>
      </c>
      <c r="H12" s="45">
        <f>'Catálogo SGD'!I12</f>
        <v>32.653333333333329</v>
      </c>
      <c r="I12" s="45">
        <f>'Catálogo SGD'!I12*12</f>
        <v>391.83999999999992</v>
      </c>
      <c r="J12" s="45">
        <f>'Catálogo SGD'!I12*E12</f>
        <v>1175.5199999999998</v>
      </c>
      <c r="K12" s="135">
        <f>J12*F12/3</f>
        <v>137143.99999999997</v>
      </c>
      <c r="L12" s="96">
        <f t="shared" ref="L12:L26" si="0">J12*F12</f>
        <v>411431.99999999994</v>
      </c>
      <c r="M12" s="137">
        <f>J12*G12/3</f>
        <v>111282.55999999998</v>
      </c>
      <c r="N12" s="94">
        <f t="shared" ref="N12:N26" si="1">J12*G12</f>
        <v>333847.67999999993</v>
      </c>
      <c r="O12" s="92">
        <f>'Catálogo SGD'!J12</f>
        <v>24.401666666666667</v>
      </c>
      <c r="P12" s="92">
        <f>O12*6</f>
        <v>146.41</v>
      </c>
      <c r="Q12" s="68">
        <f>(O12*F12*E12)/6</f>
        <v>51243.5</v>
      </c>
      <c r="R12" s="97">
        <f>O12*E12</f>
        <v>878.46</v>
      </c>
      <c r="S12" s="98">
        <f>O12*F12*E12</f>
        <v>307461</v>
      </c>
      <c r="T12" s="18"/>
      <c r="W12" s="15"/>
      <c r="X12" s="15"/>
    </row>
    <row r="13" spans="1:24" ht="30" customHeight="1" x14ac:dyDescent="0.25">
      <c r="A13" s="34">
        <f>'Descr&amp;Quant'!A11</f>
        <v>2</v>
      </c>
      <c r="B13" s="37" t="str">
        <f>'Descr&amp;Quant'!B11</f>
        <v>CISSteDCCore ALNG LicSAPk MVL 2Lic CoreLic</v>
      </c>
      <c r="C13" s="37" t="s">
        <v>102</v>
      </c>
      <c r="D13" s="20" t="str">
        <f>'Descr&amp;Quant'!D11</f>
        <v>9GS-00495</v>
      </c>
      <c r="E13" s="158">
        <f>'Descr&amp;Quant'!J11</f>
        <v>36</v>
      </c>
      <c r="F13" s="163">
        <v>180</v>
      </c>
      <c r="G13" s="163">
        <v>236</v>
      </c>
      <c r="H13" s="45">
        <f>'Catálogo SGD'!I13</f>
        <v>133.56416666666667</v>
      </c>
      <c r="I13" s="45">
        <f>'Catálogo SGD'!I13*12</f>
        <v>1602.77</v>
      </c>
      <c r="J13" s="45">
        <f>'Catálogo SGD'!I13*E13</f>
        <v>4808.3099999999995</v>
      </c>
      <c r="K13" s="135">
        <f t="shared" ref="K13:K26" si="2">J13*F13/3</f>
        <v>288498.59999999998</v>
      </c>
      <c r="L13" s="96">
        <f t="shared" si="0"/>
        <v>865495.79999999993</v>
      </c>
      <c r="M13" s="137">
        <f t="shared" ref="M13:M26" si="3">J13*G13/3</f>
        <v>378253.72</v>
      </c>
      <c r="N13" s="94">
        <f t="shared" si="1"/>
        <v>1134761.1599999999</v>
      </c>
      <c r="O13" s="92">
        <f>'Catálogo SGD'!J13</f>
        <v>100.96</v>
      </c>
      <c r="P13" s="92">
        <f t="shared" ref="P13:P23" si="4">O13*6</f>
        <v>605.76</v>
      </c>
      <c r="Q13" s="68">
        <f t="shared" ref="Q13:Q24" si="5">(O13*F13*E13)/6</f>
        <v>109036.79999999999</v>
      </c>
      <c r="R13" s="97">
        <f t="shared" ref="R13:R24" si="6">O13*E13</f>
        <v>3634.56</v>
      </c>
      <c r="S13" s="98">
        <f t="shared" ref="S13:S24" si="7">O13*F13*E13</f>
        <v>654220.79999999993</v>
      </c>
      <c r="T13" s="18"/>
      <c r="W13" s="15"/>
      <c r="X13" s="15"/>
    </row>
    <row r="14" spans="1:24" ht="30" customHeight="1" x14ac:dyDescent="0.25">
      <c r="A14" s="123">
        <f>'Descr&amp;Quant'!A12</f>
        <v>3</v>
      </c>
      <c r="B14" s="124" t="str">
        <f>'Descr&amp;Quant'!B12</f>
        <v>Project Plan3 Shared All Lng Subs VL MVL Per User</v>
      </c>
      <c r="C14" s="124" t="s">
        <v>27</v>
      </c>
      <c r="D14" s="125" t="str">
        <f>'Descr&amp;Quant'!D12</f>
        <v>7LS-00002</v>
      </c>
      <c r="E14" s="159">
        <f>'Descr&amp;Quant'!J12</f>
        <v>36</v>
      </c>
      <c r="F14" s="163">
        <v>5</v>
      </c>
      <c r="G14" s="163">
        <v>10</v>
      </c>
      <c r="H14" s="45">
        <f>'Catálogo SGD'!I14</f>
        <v>119.69</v>
      </c>
      <c r="I14" s="45">
        <f>'Catálogo SGD'!I14*12</f>
        <v>1436.28</v>
      </c>
      <c r="J14" s="45">
        <f>'Catálogo SGD'!I14*E14</f>
        <v>4308.84</v>
      </c>
      <c r="K14" s="135">
        <f t="shared" si="2"/>
        <v>7181.4000000000005</v>
      </c>
      <c r="L14" s="96">
        <f t="shared" si="0"/>
        <v>21544.2</v>
      </c>
      <c r="M14" s="137">
        <f t="shared" si="3"/>
        <v>14362.800000000001</v>
      </c>
      <c r="N14" s="94">
        <f t="shared" si="1"/>
        <v>43088.4</v>
      </c>
      <c r="O14" s="92">
        <f>'Catálogo SGD'!J14</f>
        <v>98.148333333333326</v>
      </c>
      <c r="P14" s="92">
        <f t="shared" si="4"/>
        <v>588.89</v>
      </c>
      <c r="Q14" s="68">
        <f t="shared" si="5"/>
        <v>2944.4499999999994</v>
      </c>
      <c r="R14" s="97">
        <f t="shared" si="6"/>
        <v>3533.3399999999997</v>
      </c>
      <c r="S14" s="98">
        <f t="shared" si="7"/>
        <v>17666.699999999997</v>
      </c>
      <c r="T14" s="18"/>
      <c r="W14" s="15"/>
      <c r="X14" s="15"/>
    </row>
    <row r="15" spans="1:24" ht="30" customHeight="1" x14ac:dyDescent="0.25">
      <c r="A15" s="34">
        <f>'Descr&amp;Quant'!A13</f>
        <v>4</v>
      </c>
      <c r="B15" s="37" t="str">
        <f>'Descr&amp;Quant'!B13</f>
        <v>VSEntSubMSDN ALNG LicSAPk MVL</v>
      </c>
      <c r="C15" s="37" t="s">
        <v>103</v>
      </c>
      <c r="D15" s="20" t="str">
        <f>'Descr&amp;Quant'!D13</f>
        <v>MX3-00115</v>
      </c>
      <c r="E15" s="158">
        <f>'Descr&amp;Quant'!J13</f>
        <v>36</v>
      </c>
      <c r="F15" s="164">
        <v>3</v>
      </c>
      <c r="G15" s="164">
        <v>3</v>
      </c>
      <c r="H15" s="45">
        <f>'Catálogo SGD'!I15</f>
        <v>1071.875</v>
      </c>
      <c r="I15" s="45">
        <f>'Catálogo SGD'!I15*12</f>
        <v>12862.5</v>
      </c>
      <c r="J15" s="45">
        <f>'Catálogo SGD'!I15*E15</f>
        <v>38587.5</v>
      </c>
      <c r="K15" s="135">
        <f t="shared" si="2"/>
        <v>38587.5</v>
      </c>
      <c r="L15" s="96">
        <f t="shared" si="0"/>
        <v>115762.5</v>
      </c>
      <c r="M15" s="137">
        <f t="shared" si="3"/>
        <v>38587.5</v>
      </c>
      <c r="N15" s="94">
        <f t="shared" si="1"/>
        <v>115762.5</v>
      </c>
      <c r="O15" s="92">
        <f>'Catálogo SGD'!J15</f>
        <v>848.36666666666667</v>
      </c>
      <c r="P15" s="92">
        <f t="shared" si="4"/>
        <v>5090.2</v>
      </c>
      <c r="Q15" s="68">
        <f t="shared" si="5"/>
        <v>15270.599999999999</v>
      </c>
      <c r="R15" s="97">
        <f t="shared" si="6"/>
        <v>30541.200000000001</v>
      </c>
      <c r="S15" s="98">
        <f t="shared" si="7"/>
        <v>91623.599999999991</v>
      </c>
      <c r="T15" s="18"/>
      <c r="W15" s="15"/>
      <c r="X15" s="15"/>
    </row>
    <row r="16" spans="1:24" ht="30" customHeight="1" x14ac:dyDescent="0.25">
      <c r="A16" s="34">
        <f>'Descr&amp;Quant'!A14</f>
        <v>5</v>
      </c>
      <c r="B16" s="37" t="str">
        <f>'Descr&amp;Quant'!B14</f>
        <v>VisioPlan2 ShrdSvr ALNG SubsVL MVL PerUsr</v>
      </c>
      <c r="C16" s="37" t="s">
        <v>104</v>
      </c>
      <c r="D16" s="20" t="str">
        <f>'Descr&amp;Quant'!D14</f>
        <v>N9U-00002</v>
      </c>
      <c r="E16" s="158">
        <f>'Descr&amp;Quant'!J14</f>
        <v>36</v>
      </c>
      <c r="F16" s="164">
        <v>5</v>
      </c>
      <c r="G16" s="164">
        <v>5</v>
      </c>
      <c r="H16" s="45">
        <f>'Catálogo SGD'!I16</f>
        <v>59.85</v>
      </c>
      <c r="I16" s="45">
        <f>'Catálogo SGD'!I16*12</f>
        <v>718.2</v>
      </c>
      <c r="J16" s="45">
        <f>'Catálogo SGD'!I16*E16</f>
        <v>2154.6</v>
      </c>
      <c r="K16" s="135">
        <f t="shared" si="2"/>
        <v>3591</v>
      </c>
      <c r="L16" s="96">
        <f t="shared" si="0"/>
        <v>10773</v>
      </c>
      <c r="M16" s="137">
        <f t="shared" si="3"/>
        <v>3591</v>
      </c>
      <c r="N16" s="94">
        <f t="shared" si="1"/>
        <v>10773</v>
      </c>
      <c r="O16" s="92">
        <f>'Catálogo SGD'!J16</f>
        <v>50.664999999999999</v>
      </c>
      <c r="P16" s="92">
        <f t="shared" si="4"/>
        <v>303.99</v>
      </c>
      <c r="Q16" s="68">
        <f t="shared" si="5"/>
        <v>1519.9499999999998</v>
      </c>
      <c r="R16" s="97">
        <f t="shared" si="6"/>
        <v>1823.94</v>
      </c>
      <c r="S16" s="98">
        <f t="shared" si="7"/>
        <v>9119.6999999999989</v>
      </c>
      <c r="T16" s="18"/>
      <c r="W16" s="15"/>
      <c r="X16" s="15"/>
    </row>
    <row r="17" spans="1:32" ht="30" customHeight="1" x14ac:dyDescent="0.25">
      <c r="A17" s="131" t="str">
        <f>'Descr&amp;Quant'!A15</f>
        <v>6.1</v>
      </c>
      <c r="B17" s="132" t="str">
        <f>'Descr&amp;Quant'!B15</f>
        <v>M365 E3 ShrdSvr ALNG SubsVL MVL PerUsr (Original)</v>
      </c>
      <c r="C17" s="132" t="s">
        <v>133</v>
      </c>
      <c r="D17" s="126" t="str">
        <f>'Descr&amp;Quant'!D15</f>
        <v>AAA-10756</v>
      </c>
      <c r="E17" s="160">
        <f>'Descr&amp;Quant'!J15</f>
        <v>36</v>
      </c>
      <c r="F17" s="163">
        <v>1485</v>
      </c>
      <c r="G17" s="163">
        <v>0</v>
      </c>
      <c r="H17" s="45">
        <f>'Catálogo SGD'!I17</f>
        <v>158.30000000000001</v>
      </c>
      <c r="I17" s="45">
        <f>'Catálogo SGD'!I17*12</f>
        <v>1899.6000000000001</v>
      </c>
      <c r="J17" s="45">
        <f>'Catálogo SGD'!I17*E17</f>
        <v>5698.8</v>
      </c>
      <c r="K17" s="135">
        <f t="shared" si="2"/>
        <v>2820906</v>
      </c>
      <c r="L17" s="96">
        <f t="shared" si="0"/>
        <v>8462718</v>
      </c>
      <c r="M17" s="137">
        <f t="shared" si="3"/>
        <v>0</v>
      </c>
      <c r="N17" s="94">
        <f t="shared" si="1"/>
        <v>0</v>
      </c>
      <c r="O17" s="92">
        <f>'Catálogo SGD'!J17</f>
        <v>127.19333333333333</v>
      </c>
      <c r="P17" s="92">
        <f t="shared" si="4"/>
        <v>763.16</v>
      </c>
      <c r="Q17" s="68">
        <f t="shared" si="5"/>
        <v>1133292.6000000001</v>
      </c>
      <c r="R17" s="97">
        <f t="shared" si="6"/>
        <v>4578.96</v>
      </c>
      <c r="S17" s="98">
        <f t="shared" si="7"/>
        <v>6799755.6000000006</v>
      </c>
      <c r="T17" s="18"/>
      <c r="W17" s="15"/>
      <c r="X17" s="15"/>
    </row>
    <row r="18" spans="1:32" ht="30" customHeight="1" x14ac:dyDescent="0.25">
      <c r="A18" s="133" t="str">
        <f>'Descr&amp;Quant'!A16</f>
        <v>6.2.1</v>
      </c>
      <c r="B18" s="134" t="str">
        <f>'Descr&amp;Quant'!B16</f>
        <v>O365E3 ShrdSvr ALNG SubsVL MVL PerUsr</v>
      </c>
      <c r="C18" s="134" t="s">
        <v>134</v>
      </c>
      <c r="D18" s="106" t="str">
        <f>'Descr&amp;Quant'!D16</f>
        <v>AAA-10842</v>
      </c>
      <c r="E18" s="161">
        <f>'Descr&amp;Quant'!J16</f>
        <v>36</v>
      </c>
      <c r="F18" s="163">
        <v>0</v>
      </c>
      <c r="G18" s="163">
        <v>1300</v>
      </c>
      <c r="H18" s="45">
        <f>'Catálogo SGD'!I18</f>
        <v>93.84</v>
      </c>
      <c r="I18" s="45">
        <f>'Catálogo SGD'!I18*12</f>
        <v>1126.08</v>
      </c>
      <c r="J18" s="45">
        <f>'Catálogo SGD'!I18*E18</f>
        <v>3378.2400000000002</v>
      </c>
      <c r="K18" s="135">
        <f t="shared" si="2"/>
        <v>0</v>
      </c>
      <c r="L18" s="96">
        <f t="shared" si="0"/>
        <v>0</v>
      </c>
      <c r="M18" s="137">
        <f t="shared" si="3"/>
        <v>1463904</v>
      </c>
      <c r="N18" s="94">
        <f t="shared" si="1"/>
        <v>4391712</v>
      </c>
      <c r="O18" s="92"/>
      <c r="P18" s="92">
        <f t="shared" si="4"/>
        <v>0</v>
      </c>
      <c r="Q18" s="68">
        <f t="shared" si="5"/>
        <v>0</v>
      </c>
      <c r="R18" s="97">
        <f t="shared" si="6"/>
        <v>0</v>
      </c>
      <c r="S18" s="98">
        <f t="shared" si="7"/>
        <v>0</v>
      </c>
      <c r="T18" s="18"/>
      <c r="W18" s="15"/>
      <c r="X18" s="15"/>
    </row>
    <row r="19" spans="1:32" ht="30" customHeight="1" x14ac:dyDescent="0.25">
      <c r="A19" s="133" t="str">
        <f>'Descr&amp;Quant'!A17</f>
        <v>6.2.2</v>
      </c>
      <c r="B19" s="134" t="str">
        <f>'Descr&amp;Quant'!B17</f>
        <v>EntMobandSecE3Full ShrdSvr ALNG SubsVL MVL PerUsr</v>
      </c>
      <c r="C19" s="134" t="s">
        <v>130</v>
      </c>
      <c r="D19" s="106" t="str">
        <f>'Descr&amp;Quant'!D17</f>
        <v>AAA-10732</v>
      </c>
      <c r="E19" s="161">
        <f>'Descr&amp;Quant'!J17</f>
        <v>36</v>
      </c>
      <c r="F19" s="163">
        <v>0</v>
      </c>
      <c r="G19" s="163">
        <v>1300</v>
      </c>
      <c r="H19" s="45">
        <f>'Catálogo SGD'!I19</f>
        <v>41.08</v>
      </c>
      <c r="I19" s="45">
        <f>'Catálogo SGD'!I19*12</f>
        <v>492.96</v>
      </c>
      <c r="J19" s="45">
        <f>'Catálogo SGD'!I19*E19</f>
        <v>1478.8799999999999</v>
      </c>
      <c r="K19" s="135">
        <f t="shared" si="2"/>
        <v>0</v>
      </c>
      <c r="L19" s="96">
        <f t="shared" si="0"/>
        <v>0</v>
      </c>
      <c r="M19" s="137">
        <f t="shared" si="3"/>
        <v>640847.99999999988</v>
      </c>
      <c r="N19" s="94">
        <f t="shared" si="1"/>
        <v>1922543.9999999998</v>
      </c>
      <c r="O19" s="92"/>
      <c r="P19" s="92">
        <f t="shared" si="4"/>
        <v>0</v>
      </c>
      <c r="Q19" s="68">
        <f t="shared" si="5"/>
        <v>0</v>
      </c>
      <c r="R19" s="97">
        <f t="shared" si="6"/>
        <v>0</v>
      </c>
      <c r="S19" s="98">
        <f t="shared" si="7"/>
        <v>0</v>
      </c>
      <c r="T19" s="18"/>
      <c r="W19" s="15"/>
      <c r="X19" s="15"/>
    </row>
    <row r="20" spans="1:32" ht="30" customHeight="1" x14ac:dyDescent="0.25">
      <c r="A20" s="131" t="str">
        <f>'Descr&amp;Quant'!A18</f>
        <v>7.1</v>
      </c>
      <c r="B20" s="132" t="str">
        <f>'Descr&amp;Quant'!B18</f>
        <v>M365 E5 ShrdSvr ALNG SubsVL MVL PerUsr (Original)</v>
      </c>
      <c r="C20" s="132" t="s">
        <v>105</v>
      </c>
      <c r="D20" s="126" t="str">
        <f>'Descr&amp;Quant'!D18</f>
        <v>AAA-28605</v>
      </c>
      <c r="E20" s="160">
        <f>'Descr&amp;Quant'!J18</f>
        <v>36</v>
      </c>
      <c r="F20" s="163">
        <v>15</v>
      </c>
      <c r="G20" s="163">
        <v>0</v>
      </c>
      <c r="H20" s="45">
        <f>'Catálogo SGD'!I20</f>
        <v>274.54000000000002</v>
      </c>
      <c r="I20" s="45">
        <f>'Catálogo SGD'!I20*12</f>
        <v>3294.4800000000005</v>
      </c>
      <c r="J20" s="45">
        <f>'Catálogo SGD'!I20*E20</f>
        <v>9883.44</v>
      </c>
      <c r="K20" s="135">
        <f t="shared" si="2"/>
        <v>49417.200000000004</v>
      </c>
      <c r="L20" s="96">
        <f t="shared" si="0"/>
        <v>148251.6</v>
      </c>
      <c r="M20" s="137">
        <f t="shared" si="3"/>
        <v>0</v>
      </c>
      <c r="N20" s="94">
        <f t="shared" si="1"/>
        <v>0</v>
      </c>
      <c r="O20" s="92">
        <f>'Catálogo SGD'!J20</f>
        <v>226.67999999999998</v>
      </c>
      <c r="P20" s="92">
        <f t="shared" si="4"/>
        <v>1360.08</v>
      </c>
      <c r="Q20" s="68">
        <f t="shared" si="5"/>
        <v>20401.2</v>
      </c>
      <c r="R20" s="97">
        <f t="shared" si="6"/>
        <v>8160.48</v>
      </c>
      <c r="S20" s="98">
        <f t="shared" si="7"/>
        <v>122407.2</v>
      </c>
      <c r="T20" s="18"/>
      <c r="W20" s="15"/>
      <c r="X20" s="15"/>
    </row>
    <row r="21" spans="1:32" ht="30" customHeight="1" x14ac:dyDescent="0.25">
      <c r="A21" s="133" t="str">
        <f>'Descr&amp;Quant'!A19</f>
        <v>7.2.1</v>
      </c>
      <c r="B21" s="134" t="str">
        <f>'Descr&amp;Quant'!B19</f>
        <v>O365E5 ShrdSvr ALNG SubsVL MVL PerUsr</v>
      </c>
      <c r="C21" s="134" t="s">
        <v>135</v>
      </c>
      <c r="D21" s="106" t="str">
        <f>'Descr&amp;Quant'!D19</f>
        <v>SY9-00004</v>
      </c>
      <c r="E21" s="161">
        <f>'Descr&amp;Quant'!J19</f>
        <v>36</v>
      </c>
      <c r="F21" s="163">
        <v>0</v>
      </c>
      <c r="G21" s="163">
        <v>30</v>
      </c>
      <c r="H21" s="45">
        <f>'Catálogo SGD'!I21</f>
        <v>164.31</v>
      </c>
      <c r="I21" s="45">
        <f>'Catálogo SGD'!I21*12</f>
        <v>1971.72</v>
      </c>
      <c r="J21" s="45">
        <f>'Catálogo SGD'!I21*E21</f>
        <v>5915.16</v>
      </c>
      <c r="K21" s="135">
        <f t="shared" si="2"/>
        <v>0</v>
      </c>
      <c r="L21" s="96">
        <f t="shared" si="0"/>
        <v>0</v>
      </c>
      <c r="M21" s="137">
        <f t="shared" si="3"/>
        <v>59151.6</v>
      </c>
      <c r="N21" s="94">
        <f t="shared" si="1"/>
        <v>177454.8</v>
      </c>
      <c r="O21" s="92"/>
      <c r="P21" s="92">
        <f t="shared" si="4"/>
        <v>0</v>
      </c>
      <c r="Q21" s="68">
        <f t="shared" si="5"/>
        <v>0</v>
      </c>
      <c r="R21" s="97">
        <f t="shared" si="6"/>
        <v>0</v>
      </c>
      <c r="S21" s="98">
        <f t="shared" si="7"/>
        <v>0</v>
      </c>
      <c r="T21" s="18"/>
      <c r="W21" s="15"/>
      <c r="X21" s="15"/>
    </row>
    <row r="22" spans="1:32" ht="30" customHeight="1" x14ac:dyDescent="0.25">
      <c r="A22" s="133" t="str">
        <f>'Descr&amp;Quant'!A20</f>
        <v>7.2.2</v>
      </c>
      <c r="B22" s="134" t="str">
        <f>'Descr&amp;Quant'!B20</f>
        <v>EntMobandSecE3Full ShrdSvr ALNG SubsVL MVL PerUsr</v>
      </c>
      <c r="C22" s="134" t="s">
        <v>130</v>
      </c>
      <c r="D22" s="106" t="str">
        <f>'Descr&amp;Quant'!D20</f>
        <v>AAA-10732</v>
      </c>
      <c r="E22" s="161">
        <f>'Descr&amp;Quant'!J20</f>
        <v>36</v>
      </c>
      <c r="F22" s="163">
        <v>0</v>
      </c>
      <c r="G22" s="163">
        <v>30</v>
      </c>
      <c r="H22" s="45">
        <f>'Catálogo SGD'!I22</f>
        <v>41.08</v>
      </c>
      <c r="I22" s="45">
        <f>'Catálogo SGD'!I22*12</f>
        <v>492.96</v>
      </c>
      <c r="J22" s="45">
        <f>'Catálogo SGD'!I22*E22</f>
        <v>1478.8799999999999</v>
      </c>
      <c r="K22" s="135">
        <f t="shared" si="2"/>
        <v>0</v>
      </c>
      <c r="L22" s="96">
        <f t="shared" si="0"/>
        <v>0</v>
      </c>
      <c r="M22" s="137">
        <f t="shared" si="3"/>
        <v>14788.799999999997</v>
      </c>
      <c r="N22" s="94">
        <f t="shared" si="1"/>
        <v>44366.399999999994</v>
      </c>
      <c r="O22" s="92"/>
      <c r="P22" s="92">
        <f t="shared" si="4"/>
        <v>0</v>
      </c>
      <c r="Q22" s="68">
        <f t="shared" si="5"/>
        <v>0</v>
      </c>
      <c r="R22" s="97">
        <f t="shared" si="6"/>
        <v>0</v>
      </c>
      <c r="S22" s="98">
        <f t="shared" si="7"/>
        <v>0</v>
      </c>
      <c r="T22" s="18"/>
      <c r="W22" s="15"/>
      <c r="X22" s="15"/>
    </row>
    <row r="23" spans="1:32" ht="30" customHeight="1" x14ac:dyDescent="0.25">
      <c r="A23" s="166">
        <f>'Descr&amp;Quant'!A21</f>
        <v>8</v>
      </c>
      <c r="B23" s="167" t="str">
        <f>'Descr&amp;Quant'!B21</f>
        <v>SQLSvrEntCore ALNG LicSAPk MVL 2Lic CoreLic</v>
      </c>
      <c r="C23" s="167" t="s">
        <v>106</v>
      </c>
      <c r="D23" s="168" t="str">
        <f>'Descr&amp;Quant'!D21</f>
        <v>7JQ-00341</v>
      </c>
      <c r="E23" s="169">
        <f>'Descr&amp;Quant'!J21</f>
        <v>36</v>
      </c>
      <c r="F23" s="163">
        <v>12</v>
      </c>
      <c r="G23" s="163">
        <v>20</v>
      </c>
      <c r="H23" s="45">
        <f>'Catálogo SGD'!I23</f>
        <v>2022.74</v>
      </c>
      <c r="I23" s="45">
        <f>'Catálogo SGD'!I23*12</f>
        <v>24272.880000000001</v>
      </c>
      <c r="J23" s="45">
        <f>'Catálogo SGD'!I23*E23</f>
        <v>72818.64</v>
      </c>
      <c r="K23" s="135">
        <f t="shared" si="2"/>
        <v>291274.56</v>
      </c>
      <c r="L23" s="96">
        <f t="shared" si="0"/>
        <v>873823.67999999993</v>
      </c>
      <c r="M23" s="137">
        <f t="shared" si="3"/>
        <v>485457.60000000003</v>
      </c>
      <c r="N23" s="94">
        <f t="shared" si="1"/>
        <v>1456372.8</v>
      </c>
      <c r="O23" s="92">
        <f>'Catálogo SGD'!J23</f>
        <v>1592.3916666666667</v>
      </c>
      <c r="P23" s="92">
        <f t="shared" si="4"/>
        <v>9554.35</v>
      </c>
      <c r="Q23" s="68">
        <f t="shared" si="5"/>
        <v>114652.20000000001</v>
      </c>
      <c r="R23" s="97">
        <f t="shared" si="6"/>
        <v>57326.1</v>
      </c>
      <c r="S23" s="98">
        <f t="shared" si="7"/>
        <v>687913.20000000007</v>
      </c>
      <c r="T23" s="18"/>
      <c r="W23" s="15"/>
      <c r="X23" s="15"/>
    </row>
    <row r="24" spans="1:32" ht="30" customHeight="1" x14ac:dyDescent="0.25">
      <c r="A24" s="155">
        <f>'Descr&amp;Quant'!A22</f>
        <v>9</v>
      </c>
      <c r="B24" s="156" t="str">
        <f>'Descr&amp;Quant'!B22</f>
        <v>Power BI Premium USL SubVL Per User</v>
      </c>
      <c r="C24" s="156" t="s">
        <v>107</v>
      </c>
      <c r="D24" s="157" t="str">
        <f>'Descr&amp;Quant'!D22</f>
        <v xml:space="preserve">68B-00008 </v>
      </c>
      <c r="E24" s="162">
        <f>'Descr&amp;Quant'!J21</f>
        <v>36</v>
      </c>
      <c r="F24" s="163">
        <v>0</v>
      </c>
      <c r="G24" s="163">
        <v>15</v>
      </c>
      <c r="H24" s="45">
        <f>'Catálogo SGD'!I24</f>
        <v>79.77</v>
      </c>
      <c r="I24" s="45">
        <f>'Catálogo SGD'!I24*12</f>
        <v>957.24</v>
      </c>
      <c r="J24" s="45">
        <f>'Catálogo SGD'!I24*E24</f>
        <v>2871.72</v>
      </c>
      <c r="K24" s="135">
        <f t="shared" si="2"/>
        <v>0</v>
      </c>
      <c r="L24" s="96">
        <f t="shared" si="0"/>
        <v>0</v>
      </c>
      <c r="M24" s="137">
        <f t="shared" si="3"/>
        <v>14358.599999999999</v>
      </c>
      <c r="N24" s="94">
        <f t="shared" si="1"/>
        <v>43075.799999999996</v>
      </c>
      <c r="O24" s="92"/>
      <c r="P24" s="92">
        <f>O24*6</f>
        <v>0</v>
      </c>
      <c r="Q24" s="68">
        <f t="shared" si="5"/>
        <v>0</v>
      </c>
      <c r="R24" s="97">
        <f t="shared" si="6"/>
        <v>0</v>
      </c>
      <c r="S24" s="98">
        <f t="shared" si="7"/>
        <v>0</v>
      </c>
      <c r="T24" s="18"/>
      <c r="W24" s="15"/>
      <c r="X24" s="15"/>
    </row>
    <row r="25" spans="1:32" ht="30" customHeight="1" x14ac:dyDescent="0.25">
      <c r="A25" s="155">
        <f>'Descr&amp;Quant'!A23</f>
        <v>10</v>
      </c>
      <c r="B25" s="156" t="str">
        <f>'Descr&amp;Quant'!B23</f>
        <v>PwrAtmtperusrRPAPln ShrdSvr ALNG SubsVL MVL PerUsr</v>
      </c>
      <c r="C25" s="156" t="s">
        <v>195</v>
      </c>
      <c r="D25" s="157" t="str">
        <f>'Descr&amp;Quant'!D23</f>
        <v>1O4-00001</v>
      </c>
      <c r="E25" s="162">
        <f>'Descr&amp;Quant'!J22</f>
        <v>36</v>
      </c>
      <c r="F25" s="163">
        <v>0</v>
      </c>
      <c r="G25" s="163">
        <v>5</v>
      </c>
      <c r="H25" s="45">
        <f>'Catálogo SGD'!I25</f>
        <v>187.69</v>
      </c>
      <c r="I25" s="45">
        <f>'Catálogo SGD'!I25*12</f>
        <v>2252.2799999999997</v>
      </c>
      <c r="J25" s="45">
        <f>'Catálogo SGD'!I25*E25</f>
        <v>6756.84</v>
      </c>
      <c r="K25" s="135">
        <f t="shared" si="2"/>
        <v>0</v>
      </c>
      <c r="L25" s="96">
        <f t="shared" si="0"/>
        <v>0</v>
      </c>
      <c r="M25" s="137">
        <f t="shared" si="3"/>
        <v>11261.4</v>
      </c>
      <c r="N25" s="94">
        <f t="shared" si="1"/>
        <v>33784.199999999997</v>
      </c>
      <c r="O25" s="92"/>
      <c r="P25" s="92">
        <f>O25*6</f>
        <v>0</v>
      </c>
      <c r="Q25" s="68">
        <f t="shared" ref="Q25:Q26" si="8">(O25*F25*E25)/6</f>
        <v>0</v>
      </c>
      <c r="R25" s="97">
        <f t="shared" ref="R25:R26" si="9">O25*E25</f>
        <v>0</v>
      </c>
      <c r="S25" s="98">
        <f t="shared" ref="S25:S26" si="10">O25*F25*E25</f>
        <v>0</v>
      </c>
      <c r="T25" s="18"/>
      <c r="W25" s="15"/>
      <c r="X25" s="15"/>
    </row>
    <row r="26" spans="1:32" ht="30" customHeight="1" x14ac:dyDescent="0.25">
      <c r="A26" s="155">
        <f>'Descr&amp;Quant'!A24</f>
        <v>11</v>
      </c>
      <c r="B26" s="156" t="str">
        <f>'Descr&amp;Quant'!B24</f>
        <v>PowerAppsPlan ShrdSvr ALNG SubsVL MVL PerUsr</v>
      </c>
      <c r="C26" s="156" t="s">
        <v>177</v>
      </c>
      <c r="D26" s="157" t="str">
        <f>'Descr&amp;Quant'!D24</f>
        <v>SEJ-00002</v>
      </c>
      <c r="E26" s="162">
        <f>'Descr&amp;Quant'!J23</f>
        <v>36</v>
      </c>
      <c r="F26" s="163">
        <v>0</v>
      </c>
      <c r="G26" s="163">
        <v>2</v>
      </c>
      <c r="H26" s="45">
        <f>'Catálogo SGD'!I26</f>
        <v>187.69</v>
      </c>
      <c r="I26" s="45">
        <f>'Catálogo SGD'!I26*12</f>
        <v>2252.2799999999997</v>
      </c>
      <c r="J26" s="45">
        <f>'Catálogo SGD'!I26*E26</f>
        <v>6756.84</v>
      </c>
      <c r="K26" s="135">
        <f t="shared" si="2"/>
        <v>0</v>
      </c>
      <c r="L26" s="96">
        <f t="shared" si="0"/>
        <v>0</v>
      </c>
      <c r="M26" s="137">
        <f t="shared" si="3"/>
        <v>4504.5600000000004</v>
      </c>
      <c r="N26" s="94">
        <f t="shared" si="1"/>
        <v>13513.68</v>
      </c>
      <c r="O26" s="92"/>
      <c r="P26" s="92">
        <f>O26*6</f>
        <v>0</v>
      </c>
      <c r="Q26" s="68">
        <f t="shared" si="8"/>
        <v>0</v>
      </c>
      <c r="R26" s="97">
        <f t="shared" si="9"/>
        <v>0</v>
      </c>
      <c r="S26" s="98">
        <f t="shared" si="10"/>
        <v>0</v>
      </c>
      <c r="T26" s="18"/>
      <c r="W26" s="15"/>
      <c r="X26" s="15"/>
    </row>
    <row r="27" spans="1:32" ht="15.75" x14ac:dyDescent="0.25">
      <c r="A27" s="84"/>
      <c r="B27" s="85"/>
      <c r="C27" s="85"/>
      <c r="D27" s="85"/>
      <c r="E27" s="85"/>
      <c r="F27" s="85"/>
      <c r="G27" s="85"/>
      <c r="H27" s="86">
        <f t="shared" ref="H27:S27" si="11">SUM(H12:H26)</f>
        <v>4668.6724999999997</v>
      </c>
      <c r="I27" s="86">
        <f t="shared" si="11"/>
        <v>56024.069999999992</v>
      </c>
      <c r="J27" s="86">
        <f t="shared" si="11"/>
        <v>168072.21</v>
      </c>
      <c r="K27" s="136">
        <f t="shared" si="11"/>
        <v>3636600.2600000002</v>
      </c>
      <c r="L27" s="93">
        <f t="shared" si="11"/>
        <v>10909800.779999999</v>
      </c>
      <c r="M27" s="138">
        <f t="shared" si="11"/>
        <v>3240352.14</v>
      </c>
      <c r="N27" s="95">
        <f t="shared" si="11"/>
        <v>9721056.4199999999</v>
      </c>
      <c r="O27" s="87">
        <f t="shared" si="11"/>
        <v>3068.8066666666664</v>
      </c>
      <c r="P27" s="87">
        <f t="shared" si="11"/>
        <v>18412.84</v>
      </c>
      <c r="Q27" s="87">
        <f t="shared" si="11"/>
        <v>1448361.3</v>
      </c>
      <c r="R27" s="99">
        <f t="shared" si="11"/>
        <v>110477.04000000001</v>
      </c>
      <c r="S27" s="100">
        <f t="shared" si="11"/>
        <v>8690167.8000000007</v>
      </c>
      <c r="T27" s="15"/>
      <c r="V27" s="18"/>
      <c r="W27" s="15"/>
      <c r="Y27" s="15"/>
      <c r="Z27" s="15"/>
    </row>
    <row r="28" spans="1:32" ht="16.5" customHeight="1" thickBot="1" x14ac:dyDescent="0.35">
      <c r="A28" s="1"/>
      <c r="B28" s="1"/>
      <c r="C28" s="1"/>
      <c r="D28" s="1"/>
      <c r="O28" s="6"/>
      <c r="P28" s="6"/>
      <c r="Q28" s="6"/>
      <c r="R28" s="6"/>
      <c r="S28" s="6"/>
      <c r="T28" s="1"/>
      <c r="U28" s="1"/>
    </row>
    <row r="29" spans="1:32" ht="21.75" thickBot="1" x14ac:dyDescent="0.4">
      <c r="B29" s="151" t="s">
        <v>170</v>
      </c>
      <c r="C29" s="152">
        <f>L27-N27</f>
        <v>1188744.3599999994</v>
      </c>
      <c r="D29" s="1"/>
      <c r="O29" s="6"/>
      <c r="P29" s="6"/>
      <c r="Q29" s="6"/>
      <c r="R29" s="6"/>
      <c r="S29" s="6"/>
      <c r="T29" s="1"/>
      <c r="U29" s="1"/>
    </row>
    <row r="30" spans="1:32" ht="16.5" customHeight="1" x14ac:dyDescent="0.3">
      <c r="A30" s="1"/>
      <c r="B30" s="1"/>
      <c r="C30" s="1"/>
      <c r="D30" s="1"/>
      <c r="O30" s="6"/>
      <c r="P30" s="6"/>
      <c r="Q30" s="6"/>
      <c r="R30" s="6"/>
      <c r="S30" s="6"/>
      <c r="T30" s="1"/>
      <c r="U30" s="1"/>
    </row>
    <row r="31" spans="1:32" s="7" customFormat="1" ht="15.75" x14ac:dyDescent="0.25">
      <c r="A31" s="88" t="s">
        <v>62</v>
      </c>
      <c r="B31" s="10"/>
      <c r="C31" s="10"/>
      <c r="D31" s="10"/>
      <c r="E31" s="10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</row>
    <row r="32" spans="1:32" ht="16.5" customHeight="1" x14ac:dyDescent="0.3">
      <c r="A32" s="1"/>
      <c r="B32" s="1"/>
      <c r="C32" s="1"/>
      <c r="D32" s="1"/>
      <c r="O32" s="6"/>
      <c r="P32" s="6"/>
      <c r="Q32" s="6"/>
      <c r="R32" s="6"/>
      <c r="S32" s="6"/>
      <c r="T32" s="1"/>
      <c r="U32" s="1"/>
    </row>
    <row r="33" spans="1:21" ht="16.5" customHeight="1" x14ac:dyDescent="0.25">
      <c r="A33" s="247" t="s">
        <v>108</v>
      </c>
      <c r="B33" s="247"/>
      <c r="C33" s="247"/>
      <c r="D33" s="247"/>
      <c r="E33" s="247"/>
      <c r="F33" s="247"/>
      <c r="G33" s="247"/>
      <c r="H33" s="247"/>
      <c r="I33" s="247"/>
      <c r="J33" s="247"/>
      <c r="K33" s="247"/>
      <c r="L33" s="247"/>
      <c r="M33" s="247"/>
      <c r="N33" s="247"/>
      <c r="O33" s="247"/>
      <c r="P33" s="89"/>
      <c r="Q33" s="89"/>
      <c r="R33" s="89"/>
      <c r="S33" s="89"/>
      <c r="T33" s="1"/>
      <c r="U33" s="1"/>
    </row>
    <row r="34" spans="1:21" ht="16.5" customHeight="1" x14ac:dyDescent="0.25">
      <c r="A34" s="247"/>
      <c r="B34" s="247"/>
      <c r="C34" s="247"/>
      <c r="D34" s="247"/>
      <c r="E34" s="247"/>
      <c r="F34" s="247"/>
      <c r="G34" s="247"/>
      <c r="H34" s="247"/>
      <c r="I34" s="247"/>
      <c r="J34" s="247"/>
      <c r="K34" s="247"/>
      <c r="L34" s="247"/>
      <c r="M34" s="247"/>
      <c r="N34" s="247"/>
      <c r="O34" s="247"/>
      <c r="P34" s="89"/>
      <c r="Q34" s="89"/>
      <c r="R34" s="89"/>
      <c r="S34" s="89"/>
      <c r="T34" s="1"/>
      <c r="U34" s="1"/>
    </row>
    <row r="35" spans="1:21" ht="16.5" customHeight="1" x14ac:dyDescent="0.3">
      <c r="A35" s="61"/>
      <c r="O35" s="6"/>
      <c r="P35" s="6"/>
      <c r="Q35" s="6"/>
      <c r="R35" s="6"/>
      <c r="S35" s="6"/>
      <c r="T35" s="1"/>
      <c r="U35" s="1"/>
    </row>
    <row r="36" spans="1:21" x14ac:dyDescent="0.25">
      <c r="A36" s="248"/>
      <c r="B36" s="248"/>
      <c r="C36" s="248"/>
      <c r="D36" s="248"/>
      <c r="E36" s="248"/>
      <c r="F36" s="248"/>
      <c r="G36" s="248"/>
      <c r="H36" s="248"/>
      <c r="I36" s="248"/>
      <c r="J36" s="248"/>
      <c r="K36" s="248"/>
      <c r="L36" s="248"/>
      <c r="M36" s="248"/>
      <c r="N36" s="248"/>
      <c r="O36" s="248"/>
      <c r="P36" s="90"/>
      <c r="Q36" s="90"/>
      <c r="R36" s="90"/>
      <c r="S36" s="90"/>
    </row>
    <row r="37" spans="1:21" x14ac:dyDescent="0.25">
      <c r="A37" s="248"/>
      <c r="B37" s="248"/>
      <c r="C37" s="248"/>
      <c r="D37" s="248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90"/>
      <c r="Q37" s="90"/>
      <c r="R37" s="90"/>
      <c r="S37" s="90"/>
    </row>
    <row r="38" spans="1:21" x14ac:dyDescent="0.25">
      <c r="A38" s="248"/>
      <c r="B38" s="248"/>
      <c r="C38" s="248"/>
      <c r="D38" s="248"/>
      <c r="E38" s="248"/>
      <c r="F38" s="248"/>
      <c r="G38" s="248"/>
      <c r="H38" s="248"/>
      <c r="I38" s="248"/>
      <c r="J38" s="248"/>
      <c r="K38" s="248"/>
      <c r="L38" s="248"/>
      <c r="M38" s="248"/>
      <c r="N38" s="248"/>
      <c r="O38" s="248"/>
      <c r="P38" s="90"/>
      <c r="Q38" s="90"/>
      <c r="R38" s="90"/>
      <c r="S38" s="90"/>
    </row>
    <row r="40" spans="1:21" x14ac:dyDescent="0.25">
      <c r="A40" s="248"/>
      <c r="B40" s="248"/>
      <c r="C40" s="248"/>
      <c r="D40" s="248"/>
      <c r="E40" s="248"/>
      <c r="F40" s="248"/>
      <c r="G40" s="248"/>
      <c r="H40" s="248"/>
      <c r="I40" s="248"/>
      <c r="J40" s="248"/>
      <c r="K40" s="248"/>
      <c r="L40" s="248"/>
      <c r="M40" s="248"/>
      <c r="N40" s="248"/>
      <c r="O40" s="248"/>
      <c r="P40" s="90"/>
      <c r="Q40" s="90"/>
      <c r="R40" s="90"/>
      <c r="S40" s="90"/>
    </row>
    <row r="41" spans="1:21" x14ac:dyDescent="0.25">
      <c r="A41" s="248"/>
      <c r="B41" s="248"/>
      <c r="C41" s="248"/>
      <c r="D41" s="248"/>
      <c r="E41" s="248"/>
      <c r="F41" s="248"/>
      <c r="G41" s="248"/>
      <c r="H41" s="248"/>
      <c r="I41" s="248"/>
      <c r="J41" s="248"/>
      <c r="K41" s="248"/>
      <c r="L41" s="248"/>
      <c r="M41" s="248"/>
      <c r="N41" s="248"/>
      <c r="O41" s="248"/>
      <c r="P41" s="90"/>
      <c r="Q41" s="90"/>
      <c r="R41" s="90"/>
      <c r="S41" s="90"/>
    </row>
    <row r="42" spans="1:21" ht="15" customHeight="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</row>
    <row r="43" spans="1:21" ht="15" customHeight="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</row>
    <row r="44" spans="1:21" ht="15" customHeight="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</row>
    <row r="45" spans="1:21" ht="15" customHeight="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</row>
    <row r="46" spans="1:21" ht="15" customHeight="1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</row>
    <row r="47" spans="1:21" ht="15" customHeight="1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</row>
    <row r="48" spans="1:21" ht="15" customHeight="1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</row>
    <row r="49" spans="1:20" ht="15" customHeight="1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</row>
    <row r="50" spans="1:20" ht="15" customHeight="1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</row>
    <row r="51" spans="1:20" ht="15" customHeight="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</row>
    <row r="52" spans="1:20" ht="15" customHeight="1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</row>
    <row r="53" spans="1:20" ht="15" customHeight="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</row>
  </sheetData>
  <mergeCells count="14">
    <mergeCell ref="A40:O41"/>
    <mergeCell ref="A33:O34"/>
    <mergeCell ref="A10:A11"/>
    <mergeCell ref="D10:D11"/>
    <mergeCell ref="B10:B11"/>
    <mergeCell ref="E10:E11"/>
    <mergeCell ref="G10:G11"/>
    <mergeCell ref="H10:N10"/>
    <mergeCell ref="O10:S10"/>
    <mergeCell ref="A1:O1"/>
    <mergeCell ref="B5:O8"/>
    <mergeCell ref="A36:O38"/>
    <mergeCell ref="F10:F11"/>
    <mergeCell ref="C10:C11"/>
  </mergeCells>
  <pageMargins left="0.7" right="0.7" top="0.75" bottom="0.75" header="0.3" footer="0.3"/>
  <pageSetup paperSize="9" scale="8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V28"/>
  <sheetViews>
    <sheetView topLeftCell="A4" workbookViewId="0">
      <selection activeCell="K20" sqref="K20"/>
    </sheetView>
  </sheetViews>
  <sheetFormatPr defaultRowHeight="15" x14ac:dyDescent="0.25"/>
  <cols>
    <col min="1" max="1" width="9.5703125" style="16" customWidth="1"/>
    <col min="2" max="2" width="28.28515625" customWidth="1"/>
    <col min="3" max="3" width="6.85546875" style="105" customWidth="1"/>
    <col min="4" max="5" width="13.42578125" style="105" customWidth="1"/>
    <col min="6" max="6" width="14.7109375" style="105" customWidth="1"/>
    <col min="7" max="7" width="46.7109375" style="105" bestFit="1" customWidth="1"/>
    <col min="8" max="8" width="8.42578125" style="105" bestFit="1" customWidth="1"/>
    <col min="9" max="9" width="7" style="105" bestFit="1" customWidth="1"/>
    <col min="10" max="10" width="7" style="105" customWidth="1"/>
    <col min="11" max="11" width="12.7109375" style="105" bestFit="1" customWidth="1"/>
    <col min="12" max="12" width="13.85546875" bestFit="1" customWidth="1"/>
    <col min="19" max="19" width="54.42578125" customWidth="1"/>
  </cols>
  <sheetData>
    <row r="1" spans="1:22" ht="18" thickBot="1" x14ac:dyDescent="0.35">
      <c r="A1" s="241" t="s">
        <v>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3"/>
      <c r="M1" s="6"/>
      <c r="N1" s="6"/>
      <c r="O1" s="6"/>
      <c r="P1" s="6"/>
      <c r="Q1" s="6"/>
      <c r="R1" s="6"/>
      <c r="S1" s="6"/>
    </row>
    <row r="2" spans="1:22" ht="17.2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1"/>
      <c r="Q2" s="5"/>
      <c r="R2" s="5"/>
    </row>
    <row r="3" spans="1:22" ht="17.25" x14ac:dyDescent="0.3">
      <c r="A3" s="6" t="s">
        <v>149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1"/>
      <c r="Q3" s="5"/>
      <c r="R3" s="5"/>
    </row>
    <row r="4" spans="1:22" ht="17.25" x14ac:dyDescent="0.3">
      <c r="A4" s="6" t="s">
        <v>1</v>
      </c>
      <c r="B4" s="240" t="s">
        <v>2</v>
      </c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14"/>
      <c r="N4" s="14"/>
      <c r="O4" s="14"/>
      <c r="P4" s="14"/>
      <c r="Q4" s="14"/>
      <c r="R4" s="14"/>
      <c r="S4" s="14"/>
    </row>
    <row r="5" spans="1:22" ht="17.25" x14ac:dyDescent="0.3">
      <c r="A5" s="6"/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14"/>
      <c r="N5" s="14"/>
      <c r="O5" s="14"/>
      <c r="P5" s="14"/>
      <c r="Q5" s="14"/>
      <c r="R5" s="14"/>
      <c r="S5" s="14"/>
    </row>
    <row r="6" spans="1:22" ht="17.25" x14ac:dyDescent="0.3">
      <c r="A6" s="5"/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14"/>
      <c r="N6" s="14"/>
      <c r="O6" s="14"/>
      <c r="P6" s="14"/>
      <c r="Q6" s="14"/>
      <c r="R6" s="14"/>
      <c r="S6" s="14"/>
    </row>
    <row r="7" spans="1:22" ht="17.25" x14ac:dyDescent="0.3">
      <c r="A7" s="5"/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103"/>
      <c r="N7" s="103"/>
      <c r="O7" s="103"/>
      <c r="P7" s="103"/>
      <c r="Q7" s="103"/>
    </row>
    <row r="9" spans="1:22" ht="45" x14ac:dyDescent="0.25">
      <c r="A9" s="30" t="s">
        <v>3</v>
      </c>
      <c r="B9" s="30" t="s">
        <v>4</v>
      </c>
      <c r="C9" s="31" t="s">
        <v>5</v>
      </c>
      <c r="D9" s="30" t="s">
        <v>6</v>
      </c>
      <c r="E9" s="30" t="s">
        <v>7</v>
      </c>
      <c r="F9" s="30" t="s">
        <v>8</v>
      </c>
      <c r="G9" s="30" t="s">
        <v>9</v>
      </c>
      <c r="H9" s="30" t="s">
        <v>10</v>
      </c>
      <c r="I9" s="30" t="s">
        <v>11</v>
      </c>
      <c r="J9" s="30" t="s">
        <v>187</v>
      </c>
      <c r="K9" s="30" t="s">
        <v>146</v>
      </c>
      <c r="L9" s="30" t="s">
        <v>147</v>
      </c>
    </row>
    <row r="10" spans="1:22" ht="30" x14ac:dyDescent="0.25">
      <c r="A10" s="116">
        <v>1</v>
      </c>
      <c r="B10" s="117" t="s">
        <v>13</v>
      </c>
      <c r="C10" s="187" t="s">
        <v>163</v>
      </c>
      <c r="D10" s="116" t="s">
        <v>14</v>
      </c>
      <c r="E10" s="116" t="s">
        <v>15</v>
      </c>
      <c r="F10" s="116" t="s">
        <v>16</v>
      </c>
      <c r="G10" s="118" t="s">
        <v>17</v>
      </c>
      <c r="H10" s="116" t="s">
        <v>18</v>
      </c>
      <c r="I10" s="119">
        <f>'Mapa Comparativo'!G12</f>
        <v>284</v>
      </c>
      <c r="J10" s="120">
        <v>36</v>
      </c>
      <c r="K10" s="140">
        <f>'Mapa Comparativo'!M12</f>
        <v>111282.55999999998</v>
      </c>
      <c r="L10" s="140">
        <f>'Mapa Comparativo'!N12</f>
        <v>333847.67999999993</v>
      </c>
    </row>
    <row r="11" spans="1:22" ht="30" x14ac:dyDescent="0.25">
      <c r="A11" s="116">
        <v>2</v>
      </c>
      <c r="B11" s="117" t="s">
        <v>19</v>
      </c>
      <c r="C11" s="188"/>
      <c r="D11" s="116" t="s">
        <v>20</v>
      </c>
      <c r="E11" s="116" t="s">
        <v>21</v>
      </c>
      <c r="F11" s="116" t="s">
        <v>16</v>
      </c>
      <c r="G11" s="118" t="s">
        <v>22</v>
      </c>
      <c r="H11" s="116" t="s">
        <v>18</v>
      </c>
      <c r="I11" s="119">
        <f>'Mapa Comparativo'!G13</f>
        <v>236</v>
      </c>
      <c r="J11" s="120">
        <v>36</v>
      </c>
      <c r="K11" s="140">
        <f>'Mapa Comparativo'!M13</f>
        <v>378253.72</v>
      </c>
      <c r="L11" s="140">
        <f>'Mapa Comparativo'!N13</f>
        <v>1134761.1599999999</v>
      </c>
    </row>
    <row r="12" spans="1:22" ht="30" x14ac:dyDescent="0.25">
      <c r="A12" s="116">
        <v>3</v>
      </c>
      <c r="B12" s="117" t="s">
        <v>23</v>
      </c>
      <c r="C12" s="188"/>
      <c r="D12" s="116" t="s">
        <v>24</v>
      </c>
      <c r="E12" s="116" t="s">
        <v>25</v>
      </c>
      <c r="F12" s="116" t="s">
        <v>26</v>
      </c>
      <c r="G12" s="121" t="s">
        <v>27</v>
      </c>
      <c r="H12" s="116" t="s">
        <v>28</v>
      </c>
      <c r="I12" s="119">
        <f>'Mapa Comparativo'!G14</f>
        <v>10</v>
      </c>
      <c r="J12" s="120">
        <v>36</v>
      </c>
      <c r="K12" s="140">
        <f>'Mapa Comparativo'!M14</f>
        <v>14362.800000000001</v>
      </c>
      <c r="L12" s="140">
        <f>'Mapa Comparativo'!N14</f>
        <v>43088.4</v>
      </c>
      <c r="R12" s="27"/>
      <c r="S12" s="28"/>
      <c r="T12" s="27"/>
      <c r="U12" s="27"/>
      <c r="V12" s="27"/>
    </row>
    <row r="13" spans="1:22" ht="30" x14ac:dyDescent="0.25">
      <c r="A13" s="116">
        <v>4</v>
      </c>
      <c r="B13" s="117" t="s">
        <v>29</v>
      </c>
      <c r="C13" s="188"/>
      <c r="D13" s="116" t="s">
        <v>30</v>
      </c>
      <c r="E13" s="116" t="s">
        <v>31</v>
      </c>
      <c r="F13" s="116" t="s">
        <v>26</v>
      </c>
      <c r="G13" s="121" t="s">
        <v>32</v>
      </c>
      <c r="H13" s="116" t="s">
        <v>18</v>
      </c>
      <c r="I13" s="119">
        <f>'Mapa Comparativo'!G15</f>
        <v>3</v>
      </c>
      <c r="J13" s="120">
        <v>36</v>
      </c>
      <c r="K13" s="140">
        <f>'Mapa Comparativo'!M15</f>
        <v>38587.5</v>
      </c>
      <c r="L13" s="140">
        <f>'Mapa Comparativo'!N15</f>
        <v>115762.5</v>
      </c>
      <c r="R13" s="27"/>
      <c r="S13" s="28"/>
      <c r="T13" s="27"/>
      <c r="U13" s="27"/>
      <c r="V13" s="27"/>
    </row>
    <row r="14" spans="1:22" ht="30" x14ac:dyDescent="0.25">
      <c r="A14" s="116">
        <v>5</v>
      </c>
      <c r="B14" s="117" t="s">
        <v>33</v>
      </c>
      <c r="C14" s="188"/>
      <c r="D14" s="116" t="s">
        <v>34</v>
      </c>
      <c r="E14" s="116" t="s">
        <v>35</v>
      </c>
      <c r="F14" s="116" t="s">
        <v>26</v>
      </c>
      <c r="G14" s="121" t="s">
        <v>36</v>
      </c>
      <c r="H14" s="116" t="s">
        <v>28</v>
      </c>
      <c r="I14" s="119">
        <f>'Mapa Comparativo'!G16</f>
        <v>5</v>
      </c>
      <c r="J14" s="120">
        <v>36</v>
      </c>
      <c r="K14" s="140">
        <f>'Mapa Comparativo'!M16</f>
        <v>3591</v>
      </c>
      <c r="L14" s="140">
        <f>'Mapa Comparativo'!N16</f>
        <v>10773</v>
      </c>
      <c r="R14" s="27"/>
      <c r="S14" s="28"/>
      <c r="T14" s="27"/>
      <c r="U14" s="27"/>
      <c r="V14" s="27"/>
    </row>
    <row r="15" spans="1:22" ht="30" x14ac:dyDescent="0.25">
      <c r="A15" s="106">
        <v>6</v>
      </c>
      <c r="B15" s="107" t="s">
        <v>126</v>
      </c>
      <c r="C15" s="188"/>
      <c r="D15" s="106" t="s">
        <v>129</v>
      </c>
      <c r="E15" s="106" t="s">
        <v>140</v>
      </c>
      <c r="F15" s="106" t="s">
        <v>40</v>
      </c>
      <c r="G15" s="108" t="s">
        <v>127</v>
      </c>
      <c r="H15" s="106" t="s">
        <v>28</v>
      </c>
      <c r="I15" s="109">
        <f>'Mapa Comparativo'!G18</f>
        <v>1300</v>
      </c>
      <c r="J15" s="110">
        <v>36</v>
      </c>
      <c r="K15" s="141">
        <f>'Mapa Comparativo'!M18</f>
        <v>1463904</v>
      </c>
      <c r="L15" s="141">
        <f>'Mapa Comparativo'!N18</f>
        <v>4391712</v>
      </c>
      <c r="R15" s="27"/>
      <c r="S15" s="28"/>
      <c r="T15" s="27"/>
      <c r="U15" s="27"/>
      <c r="V15" s="27"/>
    </row>
    <row r="16" spans="1:22" ht="30" x14ac:dyDescent="0.25">
      <c r="A16" s="106">
        <v>7</v>
      </c>
      <c r="B16" s="107" t="s">
        <v>138</v>
      </c>
      <c r="C16" s="188"/>
      <c r="D16" s="106" t="s">
        <v>131</v>
      </c>
      <c r="E16" s="106" t="s">
        <v>139</v>
      </c>
      <c r="F16" s="106" t="s">
        <v>40</v>
      </c>
      <c r="G16" s="108" t="s">
        <v>128</v>
      </c>
      <c r="H16" s="106" t="s">
        <v>28</v>
      </c>
      <c r="I16" s="109">
        <f>'Mapa Comparativo'!G21</f>
        <v>30</v>
      </c>
      <c r="J16" s="110">
        <v>36</v>
      </c>
      <c r="K16" s="141">
        <f>'Mapa Comparativo'!M21</f>
        <v>59151.6</v>
      </c>
      <c r="L16" s="141">
        <f>'Mapa Comparativo'!N21</f>
        <v>177454.8</v>
      </c>
    </row>
    <row r="17" spans="1:12" ht="30" x14ac:dyDescent="0.25">
      <c r="A17" s="106">
        <v>8</v>
      </c>
      <c r="B17" s="107" t="s">
        <v>125</v>
      </c>
      <c r="C17" s="188"/>
      <c r="D17" s="106" t="s">
        <v>132</v>
      </c>
      <c r="E17" s="106" t="s">
        <v>141</v>
      </c>
      <c r="F17" s="106" t="s">
        <v>40</v>
      </c>
      <c r="G17" s="108" t="s">
        <v>130</v>
      </c>
      <c r="H17" s="106" t="s">
        <v>28</v>
      </c>
      <c r="I17" s="109">
        <f>'Mapa Comparativo'!G19+ 'Mapa Comparativo'!G22</f>
        <v>1330</v>
      </c>
      <c r="J17" s="110">
        <v>36</v>
      </c>
      <c r="K17" s="141">
        <f>'Mapa Comparativo'!M19+'Mapa Comparativo'!M22</f>
        <v>655636.79999999993</v>
      </c>
      <c r="L17" s="141">
        <f>'Mapa Comparativo'!N19+'Mapa Comparativo'!N22</f>
        <v>1966910.3999999997</v>
      </c>
    </row>
    <row r="18" spans="1:12" ht="30" x14ac:dyDescent="0.25">
      <c r="A18" s="116">
        <v>9</v>
      </c>
      <c r="B18" s="117" t="s">
        <v>46</v>
      </c>
      <c r="C18" s="188"/>
      <c r="D18" s="116" t="s">
        <v>47</v>
      </c>
      <c r="E18" s="116" t="s">
        <v>48</v>
      </c>
      <c r="F18" s="116" t="s">
        <v>49</v>
      </c>
      <c r="G18" s="118" t="s">
        <v>50</v>
      </c>
      <c r="H18" s="116" t="s">
        <v>18</v>
      </c>
      <c r="I18" s="119">
        <f>'Mapa Comparativo'!G23</f>
        <v>20</v>
      </c>
      <c r="J18" s="120">
        <v>36</v>
      </c>
      <c r="K18" s="140">
        <f>'Mapa Comparativo'!M23</f>
        <v>485457.60000000003</v>
      </c>
      <c r="L18" s="140">
        <f>'Mapa Comparativo'!N23</f>
        <v>1456372.8</v>
      </c>
    </row>
    <row r="19" spans="1:12" ht="30" x14ac:dyDescent="0.25">
      <c r="A19" s="111">
        <v>10</v>
      </c>
      <c r="B19" s="115" t="s">
        <v>51</v>
      </c>
      <c r="C19" s="188"/>
      <c r="D19" s="111" t="s">
        <v>52</v>
      </c>
      <c r="E19" s="111" t="s">
        <v>53</v>
      </c>
      <c r="F19" s="111" t="s">
        <v>49</v>
      </c>
      <c r="G19" s="112" t="s">
        <v>107</v>
      </c>
      <c r="H19" s="111" t="s">
        <v>28</v>
      </c>
      <c r="I19" s="113">
        <f>'Mapa Comparativo'!G24</f>
        <v>15</v>
      </c>
      <c r="J19" s="114">
        <v>36</v>
      </c>
      <c r="K19" s="142">
        <f>'Mapa Comparativo'!M24</f>
        <v>14358.599999999999</v>
      </c>
      <c r="L19" s="142">
        <f>'Mapa Comparativo'!N24</f>
        <v>43075.799999999996</v>
      </c>
    </row>
    <row r="20" spans="1:12" ht="30" x14ac:dyDescent="0.25">
      <c r="A20" s="111">
        <v>11</v>
      </c>
      <c r="B20" s="115" t="s">
        <v>182</v>
      </c>
      <c r="C20" s="188"/>
      <c r="D20" s="111" t="s">
        <v>193</v>
      </c>
      <c r="E20" s="111" t="s">
        <v>194</v>
      </c>
      <c r="F20" s="111" t="s">
        <v>49</v>
      </c>
      <c r="G20" s="112" t="s">
        <v>195</v>
      </c>
      <c r="H20" s="111" t="s">
        <v>28</v>
      </c>
      <c r="I20" s="113">
        <f>'Mapa Comparativo'!G25</f>
        <v>5</v>
      </c>
      <c r="J20" s="114">
        <v>36</v>
      </c>
      <c r="K20" s="142">
        <f>'Mapa Comparativo'!M25</f>
        <v>11261.4</v>
      </c>
      <c r="L20" s="142">
        <f>'Mapa Comparativo'!N25</f>
        <v>33784.199999999997</v>
      </c>
    </row>
    <row r="21" spans="1:12" ht="30" x14ac:dyDescent="0.25">
      <c r="A21" s="111">
        <v>12</v>
      </c>
      <c r="B21" s="115" t="s">
        <v>183</v>
      </c>
      <c r="C21" s="189"/>
      <c r="D21" s="111" t="s">
        <v>179</v>
      </c>
      <c r="E21" s="111" t="s">
        <v>178</v>
      </c>
      <c r="F21" s="111" t="s">
        <v>49</v>
      </c>
      <c r="G21" s="112" t="s">
        <v>177</v>
      </c>
      <c r="H21" s="111" t="s">
        <v>28</v>
      </c>
      <c r="I21" s="113">
        <f>'Mapa Comparativo'!G26</f>
        <v>2</v>
      </c>
      <c r="J21" s="114">
        <v>36</v>
      </c>
      <c r="K21" s="142">
        <f>'Mapa Comparativo'!M26</f>
        <v>4504.5600000000004</v>
      </c>
      <c r="L21" s="142">
        <f>'Mapa Comparativo'!N26</f>
        <v>13513.68</v>
      </c>
    </row>
    <row r="22" spans="1:12" ht="15.75" x14ac:dyDescent="0.25">
      <c r="A22" s="144"/>
      <c r="B22" s="145"/>
      <c r="C22" s="145"/>
      <c r="D22" s="145"/>
      <c r="E22" s="145"/>
      <c r="F22" s="145"/>
      <c r="G22" s="145"/>
      <c r="H22" s="145"/>
      <c r="I22" s="264" t="s">
        <v>148</v>
      </c>
      <c r="J22" s="265"/>
      <c r="K22" s="143">
        <f>SUM(K10:K21)</f>
        <v>3240352.14</v>
      </c>
      <c r="L22" s="143">
        <f>SUM(L10:L21)</f>
        <v>9721056.4199999999</v>
      </c>
    </row>
    <row r="23" spans="1:12" ht="15.75" x14ac:dyDescent="0.25">
      <c r="A23" s="88" t="s">
        <v>62</v>
      </c>
      <c r="B23" s="10"/>
      <c r="C23" s="10"/>
      <c r="D23" s="10"/>
      <c r="E23" s="10"/>
      <c r="F23" s="10"/>
      <c r="G23" s="11"/>
      <c r="H23" s="266" t="s">
        <v>184</v>
      </c>
      <c r="I23" s="267"/>
      <c r="J23" s="268"/>
      <c r="K23" s="170">
        <f>SUM(K10:K14,K18:K21)</f>
        <v>1061659.74</v>
      </c>
      <c r="L23" s="170">
        <f>SUM(L10:L14,L18:L21)</f>
        <v>3184979.22</v>
      </c>
    </row>
    <row r="24" spans="1:12" ht="15.75" x14ac:dyDescent="0.25">
      <c r="A24" s="12"/>
      <c r="B24" s="10"/>
      <c r="C24" s="10"/>
      <c r="D24" s="10"/>
      <c r="E24" s="10"/>
      <c r="F24" s="10"/>
      <c r="G24" s="11"/>
      <c r="H24" s="11"/>
      <c r="I24" s="11"/>
      <c r="J24" s="11"/>
      <c r="K24" s="11"/>
    </row>
    <row r="25" spans="1:12" ht="15.75" x14ac:dyDescent="0.25">
      <c r="A25" s="36" t="s">
        <v>166</v>
      </c>
      <c r="B25" s="10"/>
      <c r="C25" s="10"/>
      <c r="D25" s="10"/>
      <c r="E25" s="10"/>
      <c r="F25" s="10"/>
      <c r="G25" s="11"/>
      <c r="H25" s="11"/>
      <c r="I25" s="11"/>
      <c r="J25" s="11"/>
      <c r="K25" s="11"/>
    </row>
    <row r="26" spans="1:12" x14ac:dyDescent="0.25">
      <c r="A26"/>
      <c r="B26" s="150"/>
      <c r="C26"/>
      <c r="D26"/>
      <c r="E26"/>
      <c r="F26"/>
      <c r="G26"/>
      <c r="H26"/>
      <c r="I26"/>
      <c r="J26"/>
      <c r="K26"/>
    </row>
    <row r="27" spans="1:12" x14ac:dyDescent="0.25">
      <c r="A27" s="247" t="s">
        <v>167</v>
      </c>
      <c r="B27" s="247"/>
      <c r="C27" s="247"/>
      <c r="D27" s="247"/>
      <c r="E27" s="247"/>
      <c r="F27" s="247"/>
      <c r="G27" s="247"/>
      <c r="H27" s="247"/>
      <c r="I27" s="247"/>
      <c r="J27" s="247"/>
      <c r="K27" s="247"/>
    </row>
    <row r="28" spans="1:12" x14ac:dyDescent="0.25">
      <c r="A28" s="247"/>
      <c r="B28" s="247"/>
      <c r="C28" s="247"/>
      <c r="D28" s="247"/>
      <c r="E28" s="247"/>
      <c r="F28" s="247"/>
      <c r="G28" s="247"/>
      <c r="H28" s="247"/>
      <c r="I28" s="247"/>
      <c r="J28" s="247"/>
      <c r="K28" s="247"/>
    </row>
  </sheetData>
  <mergeCells count="5">
    <mergeCell ref="A1:L1"/>
    <mergeCell ref="B4:L7"/>
    <mergeCell ref="I22:J22"/>
    <mergeCell ref="A27:K28"/>
    <mergeCell ref="H23:J2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Z42"/>
  <sheetViews>
    <sheetView tabSelected="1" zoomScale="70" zoomScaleNormal="70" workbookViewId="0">
      <selection activeCell="E26" sqref="E26"/>
    </sheetView>
  </sheetViews>
  <sheetFormatPr defaultRowHeight="15" x14ac:dyDescent="0.25"/>
  <cols>
    <col min="1" max="1" width="6.28515625" style="208" bestFit="1" customWidth="1"/>
    <col min="2" max="2" width="4.7109375" style="16" customWidth="1"/>
    <col min="3" max="3" width="22.140625" style="208" customWidth="1"/>
    <col min="4" max="4" width="8.5703125" style="105" customWidth="1"/>
    <col min="5" max="5" width="8.28515625" style="105" customWidth="1"/>
    <col min="6" max="6" width="12.85546875" style="105" bestFit="1" customWidth="1"/>
    <col min="7" max="7" width="29" style="105" customWidth="1"/>
    <col min="8" max="8" width="18.28515625" style="105" bestFit="1" customWidth="1"/>
    <col min="9" max="11" width="29" style="105" customWidth="1"/>
    <col min="12" max="12" width="3.28515625" style="105" customWidth="1"/>
    <col min="13" max="13" width="40.7109375" style="105" bestFit="1" customWidth="1"/>
    <col min="14" max="14" width="40.5703125" style="105" bestFit="1" customWidth="1"/>
    <col min="15" max="15" width="40.140625" style="105" bestFit="1" customWidth="1"/>
    <col min="16" max="16" width="29" style="105" customWidth="1"/>
    <col min="17" max="17" width="9.140625" style="208"/>
    <col min="18" max="18" width="10.7109375" style="208" bestFit="1" customWidth="1"/>
    <col min="19" max="22" width="9.140625" style="208"/>
    <col min="23" max="23" width="54.42578125" style="208" customWidth="1"/>
    <col min="24" max="16384" width="9.140625" style="208"/>
  </cols>
  <sheetData>
    <row r="1" spans="1:26" ht="45" x14ac:dyDescent="0.25">
      <c r="A1" s="30" t="s">
        <v>197</v>
      </c>
      <c r="B1" s="30" t="s">
        <v>3</v>
      </c>
      <c r="C1" s="30" t="s">
        <v>4</v>
      </c>
      <c r="D1" s="30" t="s">
        <v>6</v>
      </c>
      <c r="E1" s="30" t="s">
        <v>191</v>
      </c>
      <c r="F1" s="30" t="s">
        <v>8</v>
      </c>
      <c r="G1" s="30" t="s">
        <v>9</v>
      </c>
      <c r="H1" s="30" t="s">
        <v>11</v>
      </c>
      <c r="I1" s="30" t="s">
        <v>205</v>
      </c>
      <c r="J1" s="30" t="s">
        <v>206</v>
      </c>
      <c r="K1" s="30" t="s">
        <v>213</v>
      </c>
      <c r="L1" s="232"/>
      <c r="M1" s="30" t="s">
        <v>207</v>
      </c>
      <c r="N1" s="30" t="s">
        <v>208</v>
      </c>
      <c r="O1" s="30" t="s">
        <v>210</v>
      </c>
      <c r="P1" s="30" t="s">
        <v>203</v>
      </c>
    </row>
    <row r="2" spans="1:26" ht="60" x14ac:dyDescent="0.25">
      <c r="A2" s="274">
        <v>1</v>
      </c>
      <c r="B2" s="191">
        <v>1</v>
      </c>
      <c r="C2" s="213" t="s">
        <v>126</v>
      </c>
      <c r="D2" s="191" t="s">
        <v>129</v>
      </c>
      <c r="E2" s="191" t="s">
        <v>140</v>
      </c>
      <c r="F2" s="191" t="s">
        <v>40</v>
      </c>
      <c r="G2" s="192" t="s">
        <v>127</v>
      </c>
      <c r="H2" s="191">
        <v>1300</v>
      </c>
      <c r="I2" s="199">
        <v>93.84</v>
      </c>
      <c r="J2" s="202">
        <f>I2*12</f>
        <v>1126.08</v>
      </c>
      <c r="K2" s="202">
        <f>J2*H2</f>
        <v>1463904</v>
      </c>
      <c r="L2" s="233"/>
      <c r="M2" s="205">
        <v>92.16</v>
      </c>
      <c r="N2" s="205">
        <v>1105.96</v>
      </c>
      <c r="O2" s="205">
        <f>N2*H2</f>
        <v>1437748</v>
      </c>
      <c r="P2" s="226">
        <f>(O2-K2)/K2</f>
        <v>-1.7867291844273943E-2</v>
      </c>
    </row>
    <row r="3" spans="1:26" ht="60" x14ac:dyDescent="0.25">
      <c r="A3" s="275"/>
      <c r="B3" s="191">
        <f>B2+1</f>
        <v>2</v>
      </c>
      <c r="C3" s="213" t="s">
        <v>138</v>
      </c>
      <c r="D3" s="191" t="s">
        <v>131</v>
      </c>
      <c r="E3" s="191" t="s">
        <v>139</v>
      </c>
      <c r="F3" s="191" t="s">
        <v>40</v>
      </c>
      <c r="G3" s="192" t="s">
        <v>128</v>
      </c>
      <c r="H3" s="191">
        <v>30</v>
      </c>
      <c r="I3" s="199">
        <v>164.31</v>
      </c>
      <c r="J3" s="202">
        <f t="shared" ref="J3:J13" si="0">I3*12</f>
        <v>1971.72</v>
      </c>
      <c r="K3" s="202">
        <f t="shared" ref="K3:K13" si="1">J3*H3</f>
        <v>59151.6</v>
      </c>
      <c r="L3" s="233"/>
      <c r="M3" s="205">
        <v>161.57</v>
      </c>
      <c r="N3" s="205">
        <v>1938.88</v>
      </c>
      <c r="O3" s="205">
        <f t="shared" ref="O3:O13" si="2">N3*H3</f>
        <v>58166.400000000001</v>
      </c>
      <c r="P3" s="226">
        <f t="shared" ref="P3:P14" si="3">(O3-K3)/K3</f>
        <v>-1.6655508895786372E-2</v>
      </c>
    </row>
    <row r="4" spans="1:26" ht="60" x14ac:dyDescent="0.25">
      <c r="A4" s="275"/>
      <c r="B4" s="191">
        <f t="shared" ref="B4:B12" si="4">B3+1</f>
        <v>3</v>
      </c>
      <c r="C4" s="213" t="s">
        <v>125</v>
      </c>
      <c r="D4" s="191" t="s">
        <v>132</v>
      </c>
      <c r="E4" s="191" t="s">
        <v>141</v>
      </c>
      <c r="F4" s="191" t="s">
        <v>40</v>
      </c>
      <c r="G4" s="192" t="s">
        <v>130</v>
      </c>
      <c r="H4" s="191">
        <v>1330</v>
      </c>
      <c r="I4" s="199">
        <v>41.079999999999991</v>
      </c>
      <c r="J4" s="202">
        <f t="shared" si="0"/>
        <v>492.95999999999992</v>
      </c>
      <c r="K4" s="202">
        <f t="shared" si="1"/>
        <v>655636.79999999993</v>
      </c>
      <c r="L4" s="233"/>
      <c r="M4" s="212">
        <v>34.15</v>
      </c>
      <c r="N4" s="212">
        <v>409.82</v>
      </c>
      <c r="O4" s="205">
        <f t="shared" si="2"/>
        <v>545060.6</v>
      </c>
      <c r="P4" s="226">
        <f t="shared" si="3"/>
        <v>-0.16865465757870815</v>
      </c>
      <c r="V4" s="27"/>
      <c r="W4" s="28"/>
      <c r="X4" s="27"/>
      <c r="Y4" s="27"/>
      <c r="Z4" s="27"/>
    </row>
    <row r="5" spans="1:26" ht="45" x14ac:dyDescent="0.25">
      <c r="A5" s="269">
        <v>2</v>
      </c>
      <c r="B5" s="217">
        <f t="shared" si="4"/>
        <v>4</v>
      </c>
      <c r="C5" s="235" t="s">
        <v>13</v>
      </c>
      <c r="D5" s="217" t="s">
        <v>14</v>
      </c>
      <c r="E5" s="217" t="s">
        <v>15</v>
      </c>
      <c r="F5" s="217" t="s">
        <v>16</v>
      </c>
      <c r="G5" s="219" t="s">
        <v>17</v>
      </c>
      <c r="H5" s="236">
        <v>284</v>
      </c>
      <c r="I5" s="220">
        <v>32.653333333333329</v>
      </c>
      <c r="J5" s="220">
        <f t="shared" si="0"/>
        <v>391.83999999999992</v>
      </c>
      <c r="K5" s="220">
        <f t="shared" si="1"/>
        <v>111282.55999999998</v>
      </c>
      <c r="L5" s="237"/>
      <c r="M5" s="222">
        <v>27.74</v>
      </c>
      <c r="N5" s="222">
        <v>332.86</v>
      </c>
      <c r="O5" s="222">
        <f t="shared" si="2"/>
        <v>94532.24</v>
      </c>
      <c r="P5" s="238">
        <f t="shared" si="3"/>
        <v>-0.15052062066149433</v>
      </c>
      <c r="V5" s="27"/>
      <c r="W5" s="28"/>
      <c r="X5" s="27"/>
      <c r="Y5" s="27"/>
      <c r="Z5" s="27"/>
    </row>
    <row r="6" spans="1:26" ht="45" x14ac:dyDescent="0.25">
      <c r="A6" s="270"/>
      <c r="B6" s="116">
        <f t="shared" si="4"/>
        <v>5</v>
      </c>
      <c r="C6" s="117" t="s">
        <v>19</v>
      </c>
      <c r="D6" s="116" t="s">
        <v>20</v>
      </c>
      <c r="E6" s="116" t="s">
        <v>21</v>
      </c>
      <c r="F6" s="116" t="s">
        <v>16</v>
      </c>
      <c r="G6" s="118" t="s">
        <v>22</v>
      </c>
      <c r="H6" s="119">
        <v>236</v>
      </c>
      <c r="I6" s="200">
        <v>133.56416666666667</v>
      </c>
      <c r="J6" s="200">
        <f t="shared" si="0"/>
        <v>1602.77</v>
      </c>
      <c r="K6" s="200">
        <f t="shared" si="1"/>
        <v>378253.72</v>
      </c>
      <c r="L6" s="234"/>
      <c r="M6" s="205">
        <v>113.55</v>
      </c>
      <c r="N6" s="205">
        <v>1362.62</v>
      </c>
      <c r="O6" s="205">
        <f t="shared" si="2"/>
        <v>321578.31999999995</v>
      </c>
      <c r="P6" s="226">
        <f t="shared" si="3"/>
        <v>-0.14983434928280423</v>
      </c>
      <c r="R6" s="198"/>
      <c r="V6" s="27"/>
      <c r="W6" s="28"/>
      <c r="X6" s="27"/>
      <c r="Y6" s="27"/>
      <c r="Z6" s="27"/>
    </row>
    <row r="7" spans="1:26" ht="45" x14ac:dyDescent="0.25">
      <c r="A7" s="270"/>
      <c r="B7" s="116">
        <f t="shared" si="4"/>
        <v>6</v>
      </c>
      <c r="C7" s="117" t="s">
        <v>23</v>
      </c>
      <c r="D7" s="116" t="s">
        <v>24</v>
      </c>
      <c r="E7" s="116" t="s">
        <v>25</v>
      </c>
      <c r="F7" s="116" t="s">
        <v>26</v>
      </c>
      <c r="G7" s="121" t="s">
        <v>27</v>
      </c>
      <c r="H7" s="119">
        <v>10</v>
      </c>
      <c r="I7" s="201">
        <v>119.69</v>
      </c>
      <c r="J7" s="200">
        <f t="shared" si="0"/>
        <v>1436.28</v>
      </c>
      <c r="K7" s="200">
        <f t="shared" si="1"/>
        <v>14362.8</v>
      </c>
      <c r="L7" s="234"/>
      <c r="M7" s="205">
        <v>106.34</v>
      </c>
      <c r="N7" s="205">
        <v>1276.1300000000001</v>
      </c>
      <c r="O7" s="205">
        <f t="shared" si="2"/>
        <v>12761.300000000001</v>
      </c>
      <c r="P7" s="226">
        <f t="shared" si="3"/>
        <v>-0.11150332804188587</v>
      </c>
      <c r="V7" s="27"/>
      <c r="W7" s="28"/>
      <c r="X7" s="27"/>
      <c r="Y7" s="27"/>
      <c r="Z7" s="27"/>
    </row>
    <row r="8" spans="1:26" ht="30" x14ac:dyDescent="0.25">
      <c r="A8" s="270"/>
      <c r="B8" s="116">
        <f t="shared" si="4"/>
        <v>7</v>
      </c>
      <c r="C8" s="117" t="s">
        <v>29</v>
      </c>
      <c r="D8" s="116" t="s">
        <v>30</v>
      </c>
      <c r="E8" s="116" t="s">
        <v>31</v>
      </c>
      <c r="F8" s="116" t="s">
        <v>26</v>
      </c>
      <c r="G8" s="121" t="s">
        <v>32</v>
      </c>
      <c r="H8" s="119">
        <v>3</v>
      </c>
      <c r="I8" s="201">
        <v>1071.875</v>
      </c>
      <c r="J8" s="200">
        <f t="shared" si="0"/>
        <v>12862.5</v>
      </c>
      <c r="K8" s="200">
        <f t="shared" si="1"/>
        <v>38587.5</v>
      </c>
      <c r="L8" s="234"/>
      <c r="M8" s="205">
        <v>848.37</v>
      </c>
      <c r="N8" s="205">
        <v>10180.4</v>
      </c>
      <c r="O8" s="205">
        <f t="shared" si="2"/>
        <v>30541.199999999997</v>
      </c>
      <c r="P8" s="226">
        <f t="shared" si="3"/>
        <v>-0.20852089407191454</v>
      </c>
    </row>
    <row r="9" spans="1:26" ht="45" x14ac:dyDescent="0.25">
      <c r="A9" s="270"/>
      <c r="B9" s="116">
        <f t="shared" si="4"/>
        <v>8</v>
      </c>
      <c r="C9" s="117" t="s">
        <v>33</v>
      </c>
      <c r="D9" s="116" t="s">
        <v>34</v>
      </c>
      <c r="E9" s="116" t="s">
        <v>35</v>
      </c>
      <c r="F9" s="116" t="s">
        <v>26</v>
      </c>
      <c r="G9" s="121" t="s">
        <v>36</v>
      </c>
      <c r="H9" s="119">
        <v>5</v>
      </c>
      <c r="I9" s="201">
        <v>59.85</v>
      </c>
      <c r="J9" s="200">
        <f t="shared" si="0"/>
        <v>718.2</v>
      </c>
      <c r="K9" s="200">
        <f t="shared" si="1"/>
        <v>3591</v>
      </c>
      <c r="L9" s="234"/>
      <c r="M9" s="205">
        <v>49.02</v>
      </c>
      <c r="N9" s="205">
        <v>588.20000000000005</v>
      </c>
      <c r="O9" s="205">
        <f t="shared" si="2"/>
        <v>2941</v>
      </c>
      <c r="P9" s="226">
        <f t="shared" si="3"/>
        <v>-0.18100807574491784</v>
      </c>
    </row>
    <row r="10" spans="1:26" ht="45" x14ac:dyDescent="0.25">
      <c r="A10" s="270"/>
      <c r="B10" s="116">
        <f t="shared" si="4"/>
        <v>9</v>
      </c>
      <c r="C10" s="117" t="s">
        <v>46</v>
      </c>
      <c r="D10" s="116" t="s">
        <v>47</v>
      </c>
      <c r="E10" s="116" t="s">
        <v>48</v>
      </c>
      <c r="F10" s="116" t="s">
        <v>49</v>
      </c>
      <c r="G10" s="118" t="s">
        <v>50</v>
      </c>
      <c r="H10" s="119">
        <v>20</v>
      </c>
      <c r="I10" s="200">
        <v>2022.74</v>
      </c>
      <c r="J10" s="200">
        <f t="shared" si="0"/>
        <v>24272.880000000001</v>
      </c>
      <c r="K10" s="200">
        <f t="shared" si="1"/>
        <v>485457.60000000003</v>
      </c>
      <c r="L10" s="234"/>
      <c r="M10" s="212">
        <v>1735.9168086217478</v>
      </c>
      <c r="N10" s="212">
        <v>20831.001703460977</v>
      </c>
      <c r="O10" s="205">
        <f t="shared" si="2"/>
        <v>416620.03406921955</v>
      </c>
      <c r="P10" s="226">
        <f t="shared" si="3"/>
        <v>-0.14179933722487914</v>
      </c>
    </row>
    <row r="11" spans="1:26" ht="30" x14ac:dyDescent="0.25">
      <c r="A11" s="270"/>
      <c r="B11" s="116">
        <f t="shared" si="4"/>
        <v>10</v>
      </c>
      <c r="C11" s="117" t="s">
        <v>51</v>
      </c>
      <c r="D11" s="116" t="s">
        <v>52</v>
      </c>
      <c r="E11" s="116" t="s">
        <v>53</v>
      </c>
      <c r="F11" s="116" t="s">
        <v>198</v>
      </c>
      <c r="G11" s="118" t="s">
        <v>107</v>
      </c>
      <c r="H11" s="119">
        <v>15</v>
      </c>
      <c r="I11" s="200">
        <v>79.77</v>
      </c>
      <c r="J11" s="200">
        <f t="shared" si="0"/>
        <v>957.24</v>
      </c>
      <c r="K11" s="200">
        <f t="shared" si="1"/>
        <v>14358.6</v>
      </c>
      <c r="L11" s="234"/>
      <c r="M11" s="205">
        <v>71.3</v>
      </c>
      <c r="N11" s="205">
        <v>855.55</v>
      </c>
      <c r="O11" s="205">
        <f t="shared" si="2"/>
        <v>12833.25</v>
      </c>
      <c r="P11" s="226">
        <f t="shared" si="3"/>
        <v>-0.10623250177593918</v>
      </c>
    </row>
    <row r="12" spans="1:26" ht="45" x14ac:dyDescent="0.25">
      <c r="A12" s="270"/>
      <c r="B12" s="116">
        <f t="shared" si="4"/>
        <v>11</v>
      </c>
      <c r="C12" s="117" t="s">
        <v>182</v>
      </c>
      <c r="D12" s="116" t="s">
        <v>193</v>
      </c>
      <c r="E12" s="116" t="s">
        <v>194</v>
      </c>
      <c r="F12" s="116" t="s">
        <v>198</v>
      </c>
      <c r="G12" s="118" t="s">
        <v>195</v>
      </c>
      <c r="H12" s="119">
        <v>5</v>
      </c>
      <c r="I12" s="200">
        <v>187.69</v>
      </c>
      <c r="J12" s="200">
        <f t="shared" si="0"/>
        <v>2252.2799999999997</v>
      </c>
      <c r="K12" s="200">
        <f t="shared" si="1"/>
        <v>11261.399999999998</v>
      </c>
      <c r="L12" s="234"/>
      <c r="M12" s="205">
        <v>185.09</v>
      </c>
      <c r="N12" s="205">
        <v>2221.0500000000002</v>
      </c>
      <c r="O12" s="205">
        <f t="shared" si="2"/>
        <v>11105.25</v>
      </c>
      <c r="P12" s="226">
        <f t="shared" si="3"/>
        <v>-1.3865949171506017E-2</v>
      </c>
    </row>
    <row r="13" spans="1:26" ht="45" x14ac:dyDescent="0.25">
      <c r="A13" s="270"/>
      <c r="B13" s="197">
        <v>12</v>
      </c>
      <c r="C13" s="228" t="s">
        <v>183</v>
      </c>
      <c r="D13" s="197" t="s">
        <v>179</v>
      </c>
      <c r="E13" s="197" t="s">
        <v>178</v>
      </c>
      <c r="F13" s="197" t="s">
        <v>198</v>
      </c>
      <c r="G13" s="229" t="s">
        <v>177</v>
      </c>
      <c r="H13" s="230">
        <v>2</v>
      </c>
      <c r="I13" s="231">
        <v>187.69</v>
      </c>
      <c r="J13" s="231">
        <f t="shared" si="0"/>
        <v>2252.2799999999997</v>
      </c>
      <c r="K13" s="231">
        <f t="shared" si="1"/>
        <v>4504.5599999999995</v>
      </c>
      <c r="L13" s="234"/>
      <c r="M13" s="205">
        <v>168.24</v>
      </c>
      <c r="N13" s="205">
        <v>2018.87</v>
      </c>
      <c r="O13" s="205">
        <f t="shared" si="2"/>
        <v>4037.74</v>
      </c>
      <c r="P13" s="226">
        <f t="shared" si="3"/>
        <v>-0.10363276324435677</v>
      </c>
    </row>
    <row r="14" spans="1:26" ht="15.75" customHeight="1" x14ac:dyDescent="0.25">
      <c r="A14" s="272" t="s">
        <v>209</v>
      </c>
      <c r="B14" s="272"/>
      <c r="C14" s="272"/>
      <c r="D14" s="272"/>
      <c r="E14" s="272"/>
      <c r="F14" s="272"/>
      <c r="G14" s="272"/>
      <c r="H14" s="272"/>
      <c r="I14" s="272"/>
      <c r="J14" s="272"/>
      <c r="K14" s="216">
        <f>SUM(K2:K13)</f>
        <v>3240352.1399999997</v>
      </c>
      <c r="L14" s="145"/>
      <c r="M14" s="273" t="s">
        <v>214</v>
      </c>
      <c r="N14" s="273"/>
      <c r="O14" s="216">
        <f>SUM(O2:O13)</f>
        <v>2947925.3340692199</v>
      </c>
      <c r="P14" s="226">
        <f t="shared" si="3"/>
        <v>-9.0245378679978838E-2</v>
      </c>
    </row>
    <row r="15" spans="1:26" ht="15.75" x14ac:dyDescent="0.25">
      <c r="B15" s="144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</row>
    <row r="16" spans="1:26" ht="15.75" x14ac:dyDescent="0.25">
      <c r="B16" s="88" t="s">
        <v>62</v>
      </c>
      <c r="C16" s="11"/>
      <c r="D16" s="11"/>
      <c r="E16" s="11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</row>
    <row r="17" spans="2:16" ht="15.75" x14ac:dyDescent="0.25">
      <c r="B17" s="12"/>
      <c r="C17" s="11"/>
      <c r="D17" s="11"/>
      <c r="E17" s="11"/>
      <c r="F17" s="208"/>
      <c r="G17" s="208"/>
      <c r="H17" s="208"/>
      <c r="I17" s="208"/>
      <c r="J17" s="208"/>
      <c r="K17" s="208"/>
      <c r="L17" s="208"/>
      <c r="M17" s="208"/>
      <c r="N17" s="208"/>
      <c r="O17" s="208"/>
      <c r="P17" s="208"/>
    </row>
    <row r="18" spans="2:16" ht="15.75" x14ac:dyDescent="0.25">
      <c r="B18" s="36" t="s">
        <v>166</v>
      </c>
      <c r="D18" s="208"/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</row>
    <row r="19" spans="2:16" ht="15.75" x14ac:dyDescent="0.25">
      <c r="B19" s="208"/>
      <c r="C19" s="196"/>
      <c r="D19" s="196"/>
      <c r="E19" s="196"/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8"/>
    </row>
    <row r="20" spans="2:16" ht="14.45" customHeight="1" x14ac:dyDescent="0.25">
      <c r="B20" s="271" t="s">
        <v>167</v>
      </c>
      <c r="C20" s="271"/>
      <c r="D20" s="271"/>
      <c r="E20" s="271"/>
      <c r="F20" s="271"/>
      <c r="G20" s="271"/>
      <c r="H20" s="271"/>
      <c r="I20" s="271"/>
      <c r="J20" s="271"/>
      <c r="K20" s="271"/>
      <c r="L20" s="271"/>
      <c r="M20" s="271"/>
      <c r="N20" s="271"/>
      <c r="O20" s="271"/>
      <c r="P20" s="271"/>
    </row>
    <row r="21" spans="2:16" ht="14.45" customHeight="1" x14ac:dyDescent="0.25">
      <c r="B21" s="196"/>
      <c r="C21" s="105"/>
      <c r="F21" s="208"/>
      <c r="G21" s="208"/>
      <c r="H21" s="208"/>
      <c r="I21" s="208"/>
      <c r="J21" s="208"/>
      <c r="K21" s="208"/>
      <c r="L21" s="208"/>
      <c r="M21" s="208"/>
      <c r="N21" s="208"/>
      <c r="O21" s="208"/>
      <c r="P21" s="208"/>
    </row>
    <row r="22" spans="2:16" ht="15.75" x14ac:dyDescent="0.25">
      <c r="B22" s="271" t="s">
        <v>204</v>
      </c>
      <c r="C22" s="271"/>
      <c r="D22" s="271"/>
      <c r="E22" s="271"/>
      <c r="F22" s="271"/>
      <c r="G22" s="271"/>
      <c r="H22" s="271"/>
      <c r="I22" s="271"/>
    </row>
    <row r="24" spans="2:16" x14ac:dyDescent="0.25">
      <c r="C24" s="204"/>
      <c r="D24" s="204"/>
      <c r="E24" s="204"/>
      <c r="F24" s="204"/>
      <c r="G24" s="204"/>
      <c r="H24" s="204"/>
      <c r="I24" s="204"/>
      <c r="J24" s="206"/>
      <c r="K24" s="206"/>
      <c r="L24" s="206"/>
      <c r="M24" s="206"/>
      <c r="N24" s="206"/>
      <c r="O24" s="206"/>
      <c r="P24" s="206"/>
    </row>
    <row r="25" spans="2:16" x14ac:dyDescent="0.25">
      <c r="C25" s="209"/>
      <c r="D25" s="204"/>
      <c r="E25" s="204"/>
      <c r="F25" s="204"/>
      <c r="G25" s="207"/>
      <c r="H25" s="207"/>
      <c r="I25" s="204"/>
      <c r="J25" s="207"/>
      <c r="K25" s="207"/>
      <c r="L25" s="207"/>
      <c r="M25" s="207"/>
      <c r="N25" s="207"/>
      <c r="O25" s="207"/>
      <c r="P25" s="207"/>
    </row>
    <row r="26" spans="2:16" x14ac:dyDescent="0.25">
      <c r="C26" s="209"/>
      <c r="D26" s="206"/>
      <c r="E26" s="206"/>
      <c r="F26" s="206"/>
      <c r="G26" s="206"/>
      <c r="H26" s="206"/>
      <c r="I26" s="204"/>
      <c r="J26" s="206"/>
      <c r="K26" s="206"/>
      <c r="L26" s="206"/>
      <c r="M26" s="206"/>
      <c r="N26" s="206"/>
      <c r="O26" s="206"/>
      <c r="P26" s="206"/>
    </row>
    <row r="27" spans="2:16" x14ac:dyDescent="0.25">
      <c r="C27" s="209"/>
      <c r="D27" s="204"/>
      <c r="E27" s="207"/>
      <c r="F27" s="204"/>
      <c r="G27" s="206"/>
      <c r="H27" s="206"/>
      <c r="I27" s="204"/>
      <c r="J27" s="206"/>
      <c r="K27" s="206"/>
      <c r="L27" s="206"/>
      <c r="M27" s="206"/>
      <c r="N27" s="206"/>
      <c r="O27" s="206"/>
      <c r="P27" s="206"/>
    </row>
    <row r="28" spans="2:16" x14ac:dyDescent="0.25">
      <c r="C28" s="209"/>
      <c r="D28" s="206"/>
      <c r="E28" s="206"/>
      <c r="F28" s="206"/>
      <c r="G28" s="206"/>
      <c r="H28" s="206"/>
      <c r="I28" s="206"/>
      <c r="J28" s="204"/>
      <c r="K28" s="204"/>
      <c r="L28" s="204"/>
      <c r="M28" s="204"/>
      <c r="N28" s="204"/>
      <c r="O28" s="204"/>
      <c r="P28" s="204"/>
    </row>
    <row r="29" spans="2:16" x14ac:dyDescent="0.25">
      <c r="C29" s="209"/>
      <c r="D29" s="204"/>
      <c r="E29" s="204"/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</row>
    <row r="30" spans="2:16" x14ac:dyDescent="0.25">
      <c r="C30" s="209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204"/>
      <c r="O30" s="204"/>
      <c r="P30" s="204"/>
    </row>
    <row r="31" spans="2:16" x14ac:dyDescent="0.25">
      <c r="C31" s="209"/>
      <c r="D31" s="204"/>
      <c r="E31" s="204"/>
      <c r="F31" s="204"/>
      <c r="G31" s="206"/>
      <c r="H31" s="206"/>
      <c r="I31" s="204"/>
      <c r="J31" s="206"/>
      <c r="K31" s="206"/>
      <c r="L31" s="206"/>
      <c r="M31" s="206"/>
      <c r="N31" s="206"/>
      <c r="O31" s="206"/>
      <c r="P31" s="206"/>
    </row>
    <row r="32" spans="2:16" x14ac:dyDescent="0.25">
      <c r="C32" s="209"/>
      <c r="D32" s="204"/>
      <c r="E32" s="204"/>
      <c r="F32" s="204"/>
      <c r="G32" s="204"/>
      <c r="H32" s="204"/>
      <c r="I32" s="204"/>
      <c r="J32" s="204"/>
      <c r="K32" s="204"/>
      <c r="L32" s="204"/>
      <c r="M32" s="204"/>
      <c r="N32" s="204"/>
      <c r="O32" s="204"/>
      <c r="P32" s="204"/>
    </row>
    <row r="33" spans="3:16" x14ac:dyDescent="0.25">
      <c r="C33" s="209"/>
      <c r="D33" s="204"/>
      <c r="E33" s="204"/>
      <c r="F33" s="204"/>
      <c r="G33" s="204"/>
      <c r="H33" s="204"/>
      <c r="I33" s="204"/>
      <c r="J33" s="204"/>
      <c r="K33" s="204"/>
      <c r="L33" s="204"/>
      <c r="M33" s="204"/>
      <c r="N33" s="204"/>
      <c r="O33" s="204"/>
      <c r="P33" s="204"/>
    </row>
    <row r="34" spans="3:16" x14ac:dyDescent="0.25">
      <c r="C34" s="209"/>
      <c r="D34" s="204"/>
      <c r="E34" s="204"/>
      <c r="F34" s="204"/>
      <c r="G34" s="204"/>
      <c r="H34" s="204"/>
      <c r="I34" s="204"/>
      <c r="J34" s="204"/>
      <c r="K34" s="204"/>
      <c r="L34" s="204"/>
      <c r="M34" s="204"/>
      <c r="N34" s="204"/>
      <c r="O34" s="204"/>
      <c r="P34" s="204"/>
    </row>
    <row r="35" spans="3:16" x14ac:dyDescent="0.25">
      <c r="C35" s="209"/>
      <c r="D35" s="204"/>
      <c r="E35" s="204"/>
      <c r="F35" s="204"/>
      <c r="G35" s="204"/>
      <c r="H35" s="204"/>
      <c r="I35" s="204"/>
      <c r="J35" s="204"/>
      <c r="K35" s="204"/>
      <c r="L35" s="204"/>
      <c r="M35" s="204"/>
      <c r="N35" s="204"/>
      <c r="O35" s="204"/>
      <c r="P35" s="204"/>
    </row>
    <row r="36" spans="3:16" x14ac:dyDescent="0.25">
      <c r="C36" s="209"/>
      <c r="D36" s="204"/>
      <c r="E36" s="204"/>
      <c r="F36" s="204"/>
      <c r="G36" s="204"/>
      <c r="H36" s="204"/>
      <c r="I36" s="204"/>
      <c r="J36" s="204"/>
      <c r="K36" s="204"/>
      <c r="L36" s="204"/>
      <c r="M36" s="204"/>
      <c r="N36" s="204"/>
      <c r="O36" s="204"/>
      <c r="P36" s="204"/>
    </row>
    <row r="37" spans="3:16" x14ac:dyDescent="0.25">
      <c r="C37" s="209"/>
      <c r="D37" s="204"/>
      <c r="E37" s="204"/>
      <c r="F37" s="204"/>
      <c r="G37" s="204"/>
      <c r="H37" s="204"/>
      <c r="I37" s="204"/>
      <c r="J37" s="204"/>
      <c r="K37" s="204"/>
      <c r="L37" s="204"/>
      <c r="M37" s="204"/>
      <c r="N37" s="204"/>
      <c r="O37" s="204"/>
      <c r="P37" s="204"/>
    </row>
    <row r="42" spans="3:16" x14ac:dyDescent="0.25">
      <c r="I42" s="203"/>
    </row>
  </sheetData>
  <mergeCells count="6">
    <mergeCell ref="A2:A4"/>
    <mergeCell ref="A5:A13"/>
    <mergeCell ref="B20:P20"/>
    <mergeCell ref="B22:I22"/>
    <mergeCell ref="A14:J14"/>
    <mergeCell ref="M14:N1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AA42"/>
  <sheetViews>
    <sheetView zoomScale="70" zoomScaleNormal="70" workbookViewId="0">
      <selection activeCell="B22" sqref="B22:I22"/>
    </sheetView>
  </sheetViews>
  <sheetFormatPr defaultRowHeight="15" x14ac:dyDescent="0.25"/>
  <cols>
    <col min="1" max="1" width="6.28515625" bestFit="1" customWidth="1"/>
    <col min="2" max="2" width="4.7109375" style="16" customWidth="1"/>
    <col min="3" max="3" width="22.140625" customWidth="1"/>
    <col min="4" max="4" width="8.5703125" style="105" customWidth="1"/>
    <col min="5" max="5" width="8.28515625" style="105" customWidth="1"/>
    <col min="6" max="6" width="12.85546875" style="105" bestFit="1" customWidth="1"/>
    <col min="7" max="7" width="29" style="105" customWidth="1"/>
    <col min="8" max="8" width="18.28515625" style="105" bestFit="1" customWidth="1"/>
    <col min="9" max="11" width="29" style="105" customWidth="1"/>
    <col min="12" max="12" width="3.7109375" style="105" customWidth="1"/>
    <col min="13" max="13" width="40.7109375" style="105" bestFit="1" customWidth="1"/>
    <col min="14" max="14" width="58.7109375" style="105" bestFit="1" customWidth="1"/>
    <col min="15" max="15" width="52.85546875" style="105" bestFit="1" customWidth="1"/>
    <col min="16" max="16" width="3.42578125" style="105" customWidth="1"/>
    <col min="17" max="17" width="29" style="105" customWidth="1"/>
    <col min="19" max="19" width="10.7109375" bestFit="1" customWidth="1"/>
    <col min="24" max="24" width="54.42578125" customWidth="1"/>
  </cols>
  <sheetData>
    <row r="1" spans="1:27" ht="45" x14ac:dyDescent="0.25">
      <c r="A1" s="30" t="s">
        <v>197</v>
      </c>
      <c r="B1" s="30" t="s">
        <v>3</v>
      </c>
      <c r="C1" s="30" t="s">
        <v>4</v>
      </c>
      <c r="D1" s="30" t="s">
        <v>6</v>
      </c>
      <c r="E1" s="30" t="s">
        <v>191</v>
      </c>
      <c r="F1" s="30" t="s">
        <v>8</v>
      </c>
      <c r="G1" s="30" t="s">
        <v>9</v>
      </c>
      <c r="H1" s="30" t="s">
        <v>11</v>
      </c>
      <c r="I1" s="30" t="s">
        <v>205</v>
      </c>
      <c r="J1" s="30" t="s">
        <v>206</v>
      </c>
      <c r="K1" s="30" t="s">
        <v>213</v>
      </c>
      <c r="L1" s="223"/>
      <c r="M1" s="30" t="s">
        <v>215</v>
      </c>
      <c r="N1" s="30" t="s">
        <v>216</v>
      </c>
      <c r="O1" s="30" t="s">
        <v>217</v>
      </c>
      <c r="P1" s="223"/>
      <c r="Q1" s="30" t="s">
        <v>212</v>
      </c>
    </row>
    <row r="2" spans="1:27" ht="60" x14ac:dyDescent="0.25">
      <c r="A2" s="274">
        <v>1</v>
      </c>
      <c r="B2" s="191">
        <v>1</v>
      </c>
      <c r="C2" s="213" t="s">
        <v>126</v>
      </c>
      <c r="D2" s="191" t="s">
        <v>129</v>
      </c>
      <c r="E2" s="191" t="s">
        <v>140</v>
      </c>
      <c r="F2" s="191" t="s">
        <v>40</v>
      </c>
      <c r="G2" s="192" t="s">
        <v>127</v>
      </c>
      <c r="H2" s="191">
        <v>1300</v>
      </c>
      <c r="I2" s="199">
        <v>93.84</v>
      </c>
      <c r="J2" s="202">
        <f>I2*12</f>
        <v>1126.08</v>
      </c>
      <c r="K2" s="202">
        <f>J2*H2</f>
        <v>1463904</v>
      </c>
      <c r="L2" s="223"/>
      <c r="M2" s="205">
        <f>N2/12</f>
        <v>186.54999999999998</v>
      </c>
      <c r="N2" s="211">
        <v>2238.6</v>
      </c>
      <c r="O2" s="214">
        <f>N2*H2</f>
        <v>2910180</v>
      </c>
      <c r="P2" s="223"/>
      <c r="Q2" s="224">
        <f>(O2-K2)/K2</f>
        <v>0.98795822676896849</v>
      </c>
    </row>
    <row r="3" spans="1:27" ht="60" x14ac:dyDescent="0.25">
      <c r="A3" s="275"/>
      <c r="B3" s="191">
        <f>B2+1</f>
        <v>2</v>
      </c>
      <c r="C3" s="213" t="s">
        <v>138</v>
      </c>
      <c r="D3" s="191" t="s">
        <v>131</v>
      </c>
      <c r="E3" s="191" t="s">
        <v>139</v>
      </c>
      <c r="F3" s="191" t="s">
        <v>40</v>
      </c>
      <c r="G3" s="192" t="s">
        <v>128</v>
      </c>
      <c r="H3" s="191">
        <v>30</v>
      </c>
      <c r="I3" s="199">
        <v>164.31</v>
      </c>
      <c r="J3" s="202">
        <f t="shared" ref="J3:J13" si="0">I3*12</f>
        <v>1971.72</v>
      </c>
      <c r="K3" s="202">
        <f t="shared" ref="K3:K13" si="1">J3*H3</f>
        <v>59151.6</v>
      </c>
      <c r="L3" s="223"/>
      <c r="M3" s="205">
        <f t="shared" ref="M3:M13" si="2">N3/12</f>
        <v>308.2</v>
      </c>
      <c r="N3" s="211">
        <v>3698.4</v>
      </c>
      <c r="O3" s="214">
        <f t="shared" ref="O3:O13" si="3">N3*H3</f>
        <v>110952</v>
      </c>
      <c r="P3" s="223"/>
      <c r="Q3" s="224">
        <f t="shared" ref="Q3:Q14" si="4">(O3-K3)/K3</f>
        <v>0.87572271925019785</v>
      </c>
    </row>
    <row r="4" spans="1:27" ht="60" x14ac:dyDescent="0.25">
      <c r="A4" s="275"/>
      <c r="B4" s="191">
        <f t="shared" ref="B4:B12" si="5">B3+1</f>
        <v>3</v>
      </c>
      <c r="C4" s="213" t="s">
        <v>125</v>
      </c>
      <c r="D4" s="191" t="s">
        <v>132</v>
      </c>
      <c r="E4" s="191" t="s">
        <v>141</v>
      </c>
      <c r="F4" s="191" t="s">
        <v>40</v>
      </c>
      <c r="G4" s="192" t="s">
        <v>130</v>
      </c>
      <c r="H4" s="191">
        <v>1330</v>
      </c>
      <c r="I4" s="199">
        <v>41.079999999999991</v>
      </c>
      <c r="J4" s="202">
        <f t="shared" si="0"/>
        <v>492.95999999999992</v>
      </c>
      <c r="K4" s="202">
        <f t="shared" si="1"/>
        <v>655636.79999999993</v>
      </c>
      <c r="L4" s="223"/>
      <c r="M4" s="205">
        <f t="shared" si="2"/>
        <v>85.62</v>
      </c>
      <c r="N4" s="205">
        <v>1027.44</v>
      </c>
      <c r="O4" s="214">
        <f t="shared" si="3"/>
        <v>1366495.2000000002</v>
      </c>
      <c r="P4" s="223"/>
      <c r="Q4" s="224">
        <f t="shared" si="4"/>
        <v>1.0842259006815973</v>
      </c>
      <c r="W4" s="27"/>
      <c r="X4" s="28"/>
      <c r="Y4" s="27"/>
      <c r="Z4" s="27"/>
      <c r="AA4" s="27"/>
    </row>
    <row r="5" spans="1:27" ht="45" x14ac:dyDescent="0.25">
      <c r="A5" s="276">
        <v>2</v>
      </c>
      <c r="B5" s="217">
        <f t="shared" si="5"/>
        <v>4</v>
      </c>
      <c r="C5" s="218" t="s">
        <v>13</v>
      </c>
      <c r="D5" s="217" t="s">
        <v>14</v>
      </c>
      <c r="E5" s="217" t="s">
        <v>15</v>
      </c>
      <c r="F5" s="217" t="s">
        <v>16</v>
      </c>
      <c r="G5" s="219" t="s">
        <v>17</v>
      </c>
      <c r="H5" s="217">
        <v>284</v>
      </c>
      <c r="I5" s="220">
        <v>32.653333333333329</v>
      </c>
      <c r="J5" s="220">
        <f t="shared" si="0"/>
        <v>391.83999999999992</v>
      </c>
      <c r="K5" s="220">
        <f t="shared" si="1"/>
        <v>111282.55999999998</v>
      </c>
      <c r="M5" s="222">
        <f t="shared" si="2"/>
        <v>54.678333333333335</v>
      </c>
      <c r="N5" s="222">
        <v>656.14</v>
      </c>
      <c r="O5" s="221">
        <f t="shared" si="3"/>
        <v>186343.76</v>
      </c>
      <c r="Q5" s="225">
        <f t="shared" si="4"/>
        <v>0.67451000408329964</v>
      </c>
      <c r="W5" s="27"/>
      <c r="X5" s="28"/>
      <c r="Y5" s="27"/>
      <c r="Z5" s="27"/>
      <c r="AA5" s="27"/>
    </row>
    <row r="6" spans="1:27" ht="45" x14ac:dyDescent="0.25">
      <c r="A6" s="277"/>
      <c r="B6" s="116">
        <f t="shared" si="5"/>
        <v>5</v>
      </c>
      <c r="C6" s="215" t="s">
        <v>19</v>
      </c>
      <c r="D6" s="116" t="s">
        <v>20</v>
      </c>
      <c r="E6" s="116" t="s">
        <v>21</v>
      </c>
      <c r="F6" s="116" t="s">
        <v>16</v>
      </c>
      <c r="G6" s="118" t="s">
        <v>22</v>
      </c>
      <c r="H6" s="116">
        <v>236</v>
      </c>
      <c r="I6" s="200">
        <v>133.56416666666667</v>
      </c>
      <c r="J6" s="200">
        <f t="shared" si="0"/>
        <v>1602.77</v>
      </c>
      <c r="K6" s="220">
        <f t="shared" si="1"/>
        <v>378253.72</v>
      </c>
      <c r="M6" s="205">
        <f t="shared" si="2"/>
        <v>212.86833333333334</v>
      </c>
      <c r="N6" s="205">
        <v>2554.42</v>
      </c>
      <c r="O6" s="214">
        <f t="shared" si="3"/>
        <v>602843.12</v>
      </c>
      <c r="Q6" s="224">
        <f t="shared" si="4"/>
        <v>0.5937533145741436</v>
      </c>
      <c r="S6" s="198"/>
      <c r="W6" s="27"/>
      <c r="X6" s="28"/>
      <c r="Y6" s="27"/>
      <c r="Z6" s="27"/>
      <c r="AA6" s="27"/>
    </row>
    <row r="7" spans="1:27" ht="45" x14ac:dyDescent="0.25">
      <c r="A7" s="277"/>
      <c r="B7" s="116">
        <f t="shared" si="5"/>
        <v>6</v>
      </c>
      <c r="C7" s="215" t="s">
        <v>23</v>
      </c>
      <c r="D7" s="116" t="s">
        <v>24</v>
      </c>
      <c r="E7" s="116" t="s">
        <v>25</v>
      </c>
      <c r="F7" s="116" t="s">
        <v>26</v>
      </c>
      <c r="G7" s="121" t="s">
        <v>27</v>
      </c>
      <c r="H7" s="116">
        <v>10</v>
      </c>
      <c r="I7" s="201">
        <v>119.69</v>
      </c>
      <c r="J7" s="200">
        <f t="shared" si="0"/>
        <v>1436.28</v>
      </c>
      <c r="K7" s="220">
        <f t="shared" si="1"/>
        <v>14362.8</v>
      </c>
      <c r="M7" s="205">
        <f t="shared" si="2"/>
        <v>206.82000000000002</v>
      </c>
      <c r="N7" s="205">
        <v>2481.84</v>
      </c>
      <c r="O7" s="214">
        <f t="shared" si="3"/>
        <v>24818.400000000001</v>
      </c>
      <c r="Q7" s="224">
        <f t="shared" si="4"/>
        <v>0.72796390675912792</v>
      </c>
      <c r="W7" s="27"/>
      <c r="X7" s="28"/>
      <c r="Y7" s="27"/>
      <c r="Z7" s="27"/>
      <c r="AA7" s="27"/>
    </row>
    <row r="8" spans="1:27" ht="30" x14ac:dyDescent="0.25">
      <c r="A8" s="277"/>
      <c r="B8" s="116">
        <f t="shared" si="5"/>
        <v>7</v>
      </c>
      <c r="C8" s="215" t="s">
        <v>29</v>
      </c>
      <c r="D8" s="116" t="s">
        <v>30</v>
      </c>
      <c r="E8" s="116" t="s">
        <v>31</v>
      </c>
      <c r="F8" s="116" t="s">
        <v>26</v>
      </c>
      <c r="G8" s="121" t="s">
        <v>32</v>
      </c>
      <c r="H8" s="116">
        <v>3</v>
      </c>
      <c r="I8" s="201">
        <v>1071.875</v>
      </c>
      <c r="J8" s="200">
        <f t="shared" si="0"/>
        <v>12862.5</v>
      </c>
      <c r="K8" s="220">
        <f t="shared" si="1"/>
        <v>38587.5</v>
      </c>
      <c r="M8" s="205">
        <f t="shared" si="2"/>
        <v>1709.0424999999998</v>
      </c>
      <c r="N8" s="205">
        <v>20508.509999999998</v>
      </c>
      <c r="O8" s="214">
        <f t="shared" si="3"/>
        <v>61525.53</v>
      </c>
      <c r="Q8" s="224">
        <f t="shared" si="4"/>
        <v>0.59444198250728864</v>
      </c>
    </row>
    <row r="9" spans="1:27" ht="45" x14ac:dyDescent="0.25">
      <c r="A9" s="277"/>
      <c r="B9" s="116">
        <f t="shared" si="5"/>
        <v>8</v>
      </c>
      <c r="C9" s="215" t="s">
        <v>33</v>
      </c>
      <c r="D9" s="116" t="s">
        <v>34</v>
      </c>
      <c r="E9" s="116" t="s">
        <v>35</v>
      </c>
      <c r="F9" s="116" t="s">
        <v>26</v>
      </c>
      <c r="G9" s="121" t="s">
        <v>36</v>
      </c>
      <c r="H9" s="116">
        <v>5</v>
      </c>
      <c r="I9" s="201">
        <v>59.85</v>
      </c>
      <c r="J9" s="200">
        <f t="shared" si="0"/>
        <v>718.2</v>
      </c>
      <c r="K9" s="220">
        <f t="shared" si="1"/>
        <v>3591</v>
      </c>
      <c r="M9" s="205">
        <f t="shared" si="2"/>
        <v>103.41000000000001</v>
      </c>
      <c r="N9" s="211">
        <v>1240.92</v>
      </c>
      <c r="O9" s="214">
        <f t="shared" si="3"/>
        <v>6204.6</v>
      </c>
      <c r="Q9" s="224">
        <f t="shared" si="4"/>
        <v>0.72781954887218059</v>
      </c>
    </row>
    <row r="10" spans="1:27" ht="45" x14ac:dyDescent="0.25">
      <c r="A10" s="277"/>
      <c r="B10" s="116">
        <f t="shared" si="5"/>
        <v>9</v>
      </c>
      <c r="C10" s="215" t="s">
        <v>46</v>
      </c>
      <c r="D10" s="116" t="s">
        <v>47</v>
      </c>
      <c r="E10" s="116" t="s">
        <v>48</v>
      </c>
      <c r="F10" s="116" t="s">
        <v>49</v>
      </c>
      <c r="G10" s="118" t="s">
        <v>50</v>
      </c>
      <c r="H10" s="116">
        <v>20</v>
      </c>
      <c r="I10" s="200">
        <v>2022.74</v>
      </c>
      <c r="J10" s="200">
        <f t="shared" si="0"/>
        <v>24272.880000000001</v>
      </c>
      <c r="K10" s="220">
        <f t="shared" si="1"/>
        <v>485457.60000000003</v>
      </c>
      <c r="M10" s="205">
        <f t="shared" si="2"/>
        <v>3225.290833333333</v>
      </c>
      <c r="N10" s="205">
        <v>38703.49</v>
      </c>
      <c r="O10" s="214">
        <f t="shared" si="3"/>
        <v>774069.79999999993</v>
      </c>
      <c r="Q10" s="224">
        <f t="shared" si="4"/>
        <v>0.59451577233521502</v>
      </c>
    </row>
    <row r="11" spans="1:27" ht="30" x14ac:dyDescent="0.25">
      <c r="A11" s="277"/>
      <c r="B11" s="116">
        <f t="shared" si="5"/>
        <v>10</v>
      </c>
      <c r="C11" s="215" t="s">
        <v>51</v>
      </c>
      <c r="D11" s="116" t="s">
        <v>52</v>
      </c>
      <c r="E11" s="116" t="s">
        <v>53</v>
      </c>
      <c r="F11" s="116" t="s">
        <v>198</v>
      </c>
      <c r="G11" s="118" t="s">
        <v>107</v>
      </c>
      <c r="H11" s="116">
        <v>15</v>
      </c>
      <c r="I11" s="200">
        <v>79.77</v>
      </c>
      <c r="J11" s="200">
        <f t="shared" si="0"/>
        <v>957.24</v>
      </c>
      <c r="K11" s="220">
        <f t="shared" si="1"/>
        <v>14358.6</v>
      </c>
      <c r="M11" s="205">
        <f t="shared" si="2"/>
        <v>137.88</v>
      </c>
      <c r="N11" s="205">
        <v>1654.56</v>
      </c>
      <c r="O11" s="214">
        <f t="shared" si="3"/>
        <v>24818.399999999998</v>
      </c>
      <c r="Q11" s="224">
        <f t="shared" si="4"/>
        <v>0.72846934937946572</v>
      </c>
    </row>
    <row r="12" spans="1:27" ht="45" x14ac:dyDescent="0.25">
      <c r="A12" s="277"/>
      <c r="B12" s="116">
        <f t="shared" si="5"/>
        <v>11</v>
      </c>
      <c r="C12" s="215" t="s">
        <v>182</v>
      </c>
      <c r="D12" s="116" t="s">
        <v>193</v>
      </c>
      <c r="E12" s="116" t="s">
        <v>194</v>
      </c>
      <c r="F12" s="116" t="s">
        <v>198</v>
      </c>
      <c r="G12" s="118" t="s">
        <v>195</v>
      </c>
      <c r="H12" s="116">
        <v>5</v>
      </c>
      <c r="I12" s="200">
        <v>187.69</v>
      </c>
      <c r="J12" s="200">
        <f t="shared" si="0"/>
        <v>2252.2799999999997</v>
      </c>
      <c r="K12" s="220">
        <f t="shared" si="1"/>
        <v>11261.399999999998</v>
      </c>
      <c r="M12" s="205">
        <f t="shared" si="2"/>
        <v>324.43</v>
      </c>
      <c r="N12" s="205">
        <v>3893.16</v>
      </c>
      <c r="O12" s="214">
        <f t="shared" si="3"/>
        <v>19465.8</v>
      </c>
      <c r="Q12" s="224">
        <f t="shared" si="4"/>
        <v>0.72854174436570973</v>
      </c>
    </row>
    <row r="13" spans="1:27" ht="45" x14ac:dyDescent="0.25">
      <c r="A13" s="277"/>
      <c r="B13" s="116">
        <v>12</v>
      </c>
      <c r="C13" s="215" t="s">
        <v>183</v>
      </c>
      <c r="D13" s="116" t="s">
        <v>179</v>
      </c>
      <c r="E13" s="116" t="s">
        <v>178</v>
      </c>
      <c r="F13" s="116" t="s">
        <v>198</v>
      </c>
      <c r="G13" s="118" t="s">
        <v>177</v>
      </c>
      <c r="H13" s="116">
        <v>2</v>
      </c>
      <c r="I13" s="200">
        <v>187.69</v>
      </c>
      <c r="J13" s="200">
        <f t="shared" si="0"/>
        <v>2252.2799999999997</v>
      </c>
      <c r="K13" s="220">
        <f t="shared" si="1"/>
        <v>4504.5599999999995</v>
      </c>
      <c r="M13" s="205">
        <f t="shared" si="2"/>
        <v>162.20000000000002</v>
      </c>
      <c r="N13" s="205">
        <v>1946.4</v>
      </c>
      <c r="O13" s="214">
        <f t="shared" si="3"/>
        <v>3892.8</v>
      </c>
      <c r="Q13" s="227">
        <f t="shared" si="4"/>
        <v>-0.13580904683254288</v>
      </c>
    </row>
    <row r="14" spans="1:27" ht="15.75" customHeight="1" x14ac:dyDescent="0.25">
      <c r="A14" s="272" t="s">
        <v>209</v>
      </c>
      <c r="B14" s="272"/>
      <c r="C14" s="272"/>
      <c r="D14" s="272"/>
      <c r="E14" s="272"/>
      <c r="F14" s="272"/>
      <c r="G14" s="272"/>
      <c r="H14" s="272"/>
      <c r="I14" s="272"/>
      <c r="J14" s="272"/>
      <c r="K14" s="216">
        <f>SUM(K2:K13)</f>
        <v>3240352.1399999997</v>
      </c>
      <c r="L14" s="145"/>
      <c r="M14" s="273" t="s">
        <v>211</v>
      </c>
      <c r="N14" s="273"/>
      <c r="O14" s="216">
        <f>SUM(O2:O13)</f>
        <v>6091609.4100000001</v>
      </c>
      <c r="P14" s="145"/>
      <c r="Q14" s="210">
        <f t="shared" si="4"/>
        <v>0.87992204143590413</v>
      </c>
    </row>
    <row r="15" spans="1:27" s="208" customFormat="1" ht="15.75" x14ac:dyDescent="0.25">
      <c r="B15" s="144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</row>
    <row r="16" spans="1:27" ht="15.75" x14ac:dyDescent="0.25">
      <c r="B16" s="88" t="s">
        <v>62</v>
      </c>
      <c r="C16" s="11"/>
      <c r="D16" s="11"/>
      <c r="E16" s="11"/>
      <c r="F16"/>
      <c r="G16"/>
      <c r="H16" s="208"/>
      <c r="I16"/>
      <c r="J16"/>
      <c r="K16"/>
      <c r="L16"/>
      <c r="M16" s="11"/>
      <c r="N16" s="11"/>
      <c r="O16" s="11"/>
      <c r="P16" s="11"/>
      <c r="Q16" s="11"/>
    </row>
    <row r="17" spans="2:17" ht="15.75" x14ac:dyDescent="0.25">
      <c r="B17" s="12"/>
      <c r="C17" s="11"/>
      <c r="D17" s="11"/>
      <c r="E17" s="11"/>
      <c r="F17"/>
      <c r="G17"/>
      <c r="H17" s="208"/>
      <c r="I17"/>
      <c r="J17"/>
      <c r="K17"/>
      <c r="L17"/>
      <c r="M17" s="11"/>
      <c r="N17" s="11"/>
      <c r="O17" s="11"/>
      <c r="P17" s="11"/>
      <c r="Q17" s="11"/>
    </row>
    <row r="18" spans="2:17" ht="15.75" x14ac:dyDescent="0.25">
      <c r="B18" s="36" t="s">
        <v>166</v>
      </c>
      <c r="D18"/>
      <c r="E18"/>
      <c r="F18"/>
      <c r="G18"/>
      <c r="H18" s="208"/>
      <c r="I18"/>
      <c r="J18"/>
      <c r="K18" s="239"/>
      <c r="L18"/>
      <c r="M18" s="11"/>
      <c r="N18" s="11"/>
      <c r="O18" s="11"/>
      <c r="P18" s="11"/>
      <c r="Q18" s="11"/>
    </row>
    <row r="19" spans="2:17" ht="15.75" x14ac:dyDescent="0.25">
      <c r="B19"/>
      <c r="C19" s="190"/>
      <c r="D19" s="190"/>
      <c r="E19" s="190"/>
      <c r="F19"/>
      <c r="G19"/>
      <c r="H19" s="208"/>
      <c r="I19"/>
      <c r="J19"/>
      <c r="K19"/>
      <c r="L19"/>
      <c r="M19" s="208"/>
      <c r="N19" s="208"/>
      <c r="O19" s="208"/>
      <c r="P19" s="208"/>
      <c r="Q19" s="208"/>
    </row>
    <row r="20" spans="2:17" ht="14.45" customHeight="1" x14ac:dyDescent="0.25">
      <c r="B20" s="271" t="s">
        <v>167</v>
      </c>
      <c r="C20" s="271"/>
      <c r="D20" s="271"/>
      <c r="E20" s="271"/>
      <c r="F20" s="271"/>
      <c r="G20" s="271"/>
      <c r="H20" s="271"/>
      <c r="I20" s="271"/>
      <c r="J20" s="271"/>
      <c r="K20" s="271"/>
      <c r="L20" s="271"/>
      <c r="M20" s="196"/>
      <c r="N20" s="196"/>
      <c r="O20" s="196"/>
      <c r="P20" s="196"/>
      <c r="Q20" s="196"/>
    </row>
    <row r="21" spans="2:17" ht="14.45" customHeight="1" x14ac:dyDescent="0.25">
      <c r="B21" s="190"/>
      <c r="C21" s="105"/>
      <c r="F21"/>
      <c r="G21"/>
      <c r="H21" s="208"/>
      <c r="I21"/>
      <c r="J21"/>
      <c r="K21"/>
      <c r="L21"/>
      <c r="M21" s="196"/>
      <c r="N21" s="196"/>
      <c r="O21" s="196"/>
      <c r="P21" s="196"/>
      <c r="Q21" s="196"/>
    </row>
    <row r="22" spans="2:17" ht="15.75" x14ac:dyDescent="0.25">
      <c r="B22" s="271" t="s">
        <v>218</v>
      </c>
      <c r="C22" s="271"/>
      <c r="D22" s="271"/>
      <c r="E22" s="271"/>
      <c r="F22" s="271"/>
      <c r="G22" s="271"/>
      <c r="H22" s="271"/>
      <c r="I22" s="271"/>
    </row>
    <row r="24" spans="2:17" x14ac:dyDescent="0.25">
      <c r="C24" s="204"/>
      <c r="D24" s="204"/>
      <c r="E24" s="204"/>
      <c r="F24" s="204"/>
      <c r="G24" s="204"/>
      <c r="H24" s="204"/>
      <c r="I24" s="204"/>
      <c r="J24" s="206"/>
      <c r="K24" s="204"/>
    </row>
    <row r="25" spans="2:17" x14ac:dyDescent="0.25">
      <c r="C25" s="209"/>
      <c r="D25" s="204"/>
      <c r="E25" s="204"/>
      <c r="F25" s="204"/>
      <c r="G25" s="207"/>
      <c r="H25" s="207"/>
      <c r="I25" s="204"/>
      <c r="J25" s="207"/>
      <c r="K25" s="204"/>
    </row>
    <row r="26" spans="2:17" x14ac:dyDescent="0.25">
      <c r="C26" s="209"/>
      <c r="D26" s="206"/>
      <c r="E26" s="206"/>
      <c r="F26" s="206"/>
      <c r="G26" s="206"/>
      <c r="H26" s="206"/>
      <c r="I26" s="204"/>
      <c r="J26" s="206"/>
      <c r="K26" s="204"/>
    </row>
    <row r="27" spans="2:17" x14ac:dyDescent="0.25">
      <c r="C27" s="209"/>
      <c r="D27" s="204"/>
      <c r="E27" s="207"/>
      <c r="F27" s="204"/>
      <c r="G27" s="206"/>
      <c r="H27" s="206"/>
      <c r="I27" s="204"/>
      <c r="J27" s="206"/>
      <c r="K27" s="204"/>
    </row>
    <row r="28" spans="2:17" x14ac:dyDescent="0.25">
      <c r="C28" s="209"/>
      <c r="D28" s="206"/>
      <c r="E28" s="206"/>
      <c r="F28" s="206"/>
      <c r="G28" s="206"/>
      <c r="H28" s="206"/>
      <c r="I28" s="206"/>
      <c r="J28" s="204"/>
      <c r="K28" s="206"/>
    </row>
    <row r="29" spans="2:17" x14ac:dyDescent="0.25">
      <c r="C29" s="209"/>
      <c r="D29" s="204"/>
      <c r="E29" s="204"/>
      <c r="F29" s="204"/>
      <c r="G29" s="204"/>
      <c r="H29" s="204"/>
      <c r="I29" s="204"/>
      <c r="J29" s="204"/>
      <c r="K29" s="204"/>
    </row>
    <row r="30" spans="2:17" x14ac:dyDescent="0.25">
      <c r="C30" s="209"/>
      <c r="D30" s="204"/>
      <c r="E30" s="204"/>
      <c r="F30" s="204"/>
      <c r="G30" s="204"/>
      <c r="H30" s="204"/>
      <c r="I30" s="204"/>
      <c r="J30" s="204"/>
      <c r="K30" s="204"/>
    </row>
    <row r="31" spans="2:17" x14ac:dyDescent="0.25">
      <c r="C31" s="209"/>
      <c r="D31" s="204"/>
      <c r="E31" s="204"/>
      <c r="F31" s="204"/>
      <c r="G31" s="206"/>
      <c r="H31" s="206"/>
      <c r="I31" s="204"/>
      <c r="J31" s="206"/>
      <c r="K31" s="204"/>
    </row>
    <row r="32" spans="2:17" x14ac:dyDescent="0.25">
      <c r="C32" s="209"/>
      <c r="D32" s="204"/>
      <c r="E32" s="204"/>
      <c r="F32" s="204"/>
      <c r="G32" s="204"/>
      <c r="H32" s="204"/>
      <c r="I32" s="204"/>
      <c r="J32" s="204"/>
      <c r="K32" s="204"/>
    </row>
    <row r="33" spans="3:11" x14ac:dyDescent="0.25">
      <c r="C33" s="209"/>
      <c r="D33" s="204"/>
      <c r="E33" s="204"/>
      <c r="F33" s="204"/>
      <c r="G33" s="204"/>
      <c r="H33" s="204"/>
      <c r="I33" s="204"/>
      <c r="J33" s="204"/>
      <c r="K33" s="204"/>
    </row>
    <row r="34" spans="3:11" x14ac:dyDescent="0.25">
      <c r="C34" s="209"/>
      <c r="D34" s="204"/>
      <c r="E34" s="204"/>
      <c r="F34" s="204"/>
      <c r="G34" s="204"/>
      <c r="H34" s="204"/>
      <c r="I34" s="204"/>
      <c r="J34" s="204"/>
      <c r="K34" s="204"/>
    </row>
    <row r="35" spans="3:11" x14ac:dyDescent="0.25">
      <c r="C35" s="209"/>
      <c r="D35" s="204"/>
      <c r="E35" s="204"/>
      <c r="F35" s="204"/>
      <c r="G35" s="204"/>
      <c r="H35" s="204"/>
      <c r="I35" s="204"/>
      <c r="J35" s="204"/>
      <c r="K35" s="204"/>
    </row>
    <row r="36" spans="3:11" x14ac:dyDescent="0.25">
      <c r="C36" s="209"/>
      <c r="D36" s="204"/>
      <c r="E36" s="204"/>
      <c r="F36" s="204"/>
      <c r="G36" s="204"/>
      <c r="H36" s="204"/>
      <c r="I36" s="204"/>
      <c r="J36" s="204"/>
      <c r="K36" s="204"/>
    </row>
    <row r="37" spans="3:11" x14ac:dyDescent="0.25">
      <c r="C37" s="209"/>
      <c r="D37" s="204"/>
      <c r="E37" s="204"/>
      <c r="F37" s="204"/>
      <c r="G37" s="204"/>
      <c r="H37" s="204"/>
      <c r="I37" s="204"/>
      <c r="J37" s="204"/>
      <c r="K37" s="204"/>
    </row>
    <row r="42" spans="3:11" x14ac:dyDescent="0.25">
      <c r="I42" s="203"/>
    </row>
  </sheetData>
  <mergeCells count="6">
    <mergeCell ref="B20:L20"/>
    <mergeCell ref="B22:I22"/>
    <mergeCell ref="A14:J14"/>
    <mergeCell ref="M14:N14"/>
    <mergeCell ref="A2:A4"/>
    <mergeCell ref="A5:A1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900"/>
  </sheetPr>
  <dimension ref="A1:T18"/>
  <sheetViews>
    <sheetView workbookViewId="0">
      <selection activeCell="E10" sqref="E10"/>
    </sheetView>
  </sheetViews>
  <sheetFormatPr defaultRowHeight="15" x14ac:dyDescent="0.25"/>
  <cols>
    <col min="1" max="1" width="11.7109375" style="16" customWidth="1"/>
    <col min="2" max="2" width="9.5703125" style="16" customWidth="1"/>
    <col min="3" max="3" width="26" customWidth="1"/>
    <col min="4" max="4" width="7.5703125" style="105" bestFit="1" customWidth="1"/>
    <col min="5" max="5" width="45.7109375" style="105" customWidth="1"/>
    <col min="6" max="6" width="11" style="105" customWidth="1"/>
    <col min="7" max="7" width="12.140625" style="105" customWidth="1"/>
    <col min="8" max="8" width="7" style="105" bestFit="1" customWidth="1"/>
    <col min="9" max="9" width="14.42578125" style="105" customWidth="1"/>
    <col min="10" max="10" width="14.7109375" customWidth="1"/>
    <col min="17" max="17" width="54.42578125" customWidth="1"/>
  </cols>
  <sheetData>
    <row r="1" spans="1:20" ht="18" thickBot="1" x14ac:dyDescent="0.35">
      <c r="A1" s="241" t="s">
        <v>0</v>
      </c>
      <c r="B1" s="279"/>
      <c r="C1" s="279"/>
      <c r="D1" s="279"/>
      <c r="E1" s="279"/>
      <c r="F1" s="279"/>
      <c r="G1" s="279"/>
      <c r="H1" s="279"/>
      <c r="I1" s="279"/>
      <c r="J1" s="279"/>
      <c r="K1" s="154"/>
      <c r="L1" s="139"/>
      <c r="M1" s="6"/>
      <c r="N1" s="6"/>
      <c r="O1" s="6"/>
      <c r="P1" s="6"/>
      <c r="Q1" s="6"/>
    </row>
    <row r="2" spans="1:20" ht="17.2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1"/>
      <c r="O2" s="5"/>
      <c r="P2" s="5"/>
    </row>
    <row r="3" spans="1:20" ht="17.25" x14ac:dyDescent="0.3">
      <c r="A3" s="6" t="s">
        <v>174</v>
      </c>
      <c r="B3" s="5"/>
      <c r="C3" s="5"/>
      <c r="D3" s="5"/>
      <c r="E3" s="5"/>
      <c r="F3" s="5"/>
      <c r="G3" s="5"/>
      <c r="H3" s="5"/>
      <c r="I3" s="5"/>
      <c r="J3" s="5"/>
      <c r="K3" s="5"/>
      <c r="L3" s="1"/>
      <c r="N3" s="5"/>
      <c r="O3" s="5"/>
    </row>
    <row r="4" spans="1:20" ht="17.25" x14ac:dyDescent="0.3">
      <c r="A4" s="6" t="s">
        <v>1</v>
      </c>
      <c r="B4" s="240" t="s">
        <v>175</v>
      </c>
      <c r="C4" s="240"/>
      <c r="D4" s="240"/>
      <c r="E4" s="240"/>
      <c r="F4" s="240"/>
      <c r="G4" s="240"/>
      <c r="H4" s="240"/>
      <c r="I4" s="240"/>
      <c r="J4" s="278"/>
      <c r="K4" s="14"/>
      <c r="L4" s="14"/>
      <c r="M4" s="14"/>
      <c r="N4" s="14"/>
      <c r="O4" s="14"/>
      <c r="P4" s="14"/>
    </row>
    <row r="5" spans="1:20" ht="17.25" x14ac:dyDescent="0.3">
      <c r="A5" s="6"/>
      <c r="B5" s="240"/>
      <c r="C5" s="240"/>
      <c r="D5" s="240"/>
      <c r="E5" s="240"/>
      <c r="F5" s="240"/>
      <c r="G5" s="240"/>
      <c r="H5" s="240"/>
      <c r="I5" s="240"/>
      <c r="J5" s="278"/>
      <c r="K5" s="14"/>
      <c r="L5" s="14"/>
      <c r="M5" s="14"/>
      <c r="N5" s="14"/>
      <c r="O5" s="14"/>
      <c r="P5" s="14"/>
    </row>
    <row r="6" spans="1:20" ht="17.25" x14ac:dyDescent="0.3">
      <c r="A6" s="5"/>
      <c r="B6" s="240"/>
      <c r="C6" s="240"/>
      <c r="D6" s="240"/>
      <c r="E6" s="240"/>
      <c r="F6" s="240"/>
      <c r="G6" s="240"/>
      <c r="H6" s="240"/>
      <c r="I6" s="240"/>
      <c r="J6" s="278"/>
      <c r="K6" s="14"/>
      <c r="L6" s="14"/>
      <c r="M6" s="14"/>
      <c r="N6" s="14"/>
      <c r="O6" s="14"/>
      <c r="P6" s="14"/>
    </row>
    <row r="7" spans="1:20" ht="17.25" x14ac:dyDescent="0.3">
      <c r="A7" s="5"/>
      <c r="B7" s="240"/>
      <c r="C7" s="240"/>
      <c r="D7" s="240"/>
      <c r="E7" s="240"/>
      <c r="F7" s="240"/>
      <c r="G7" s="240"/>
      <c r="H7" s="240"/>
      <c r="I7" s="240"/>
      <c r="J7" s="278"/>
      <c r="K7" s="103"/>
      <c r="L7" s="103"/>
      <c r="M7" s="103"/>
      <c r="N7" s="103"/>
    </row>
    <row r="9" spans="1:20" ht="60" x14ac:dyDescent="0.25">
      <c r="A9" s="30" t="s">
        <v>173</v>
      </c>
      <c r="B9" s="30" t="s">
        <v>164</v>
      </c>
      <c r="C9" s="30" t="s">
        <v>151</v>
      </c>
      <c r="D9" s="31" t="s">
        <v>5</v>
      </c>
      <c r="E9" s="30" t="s">
        <v>152</v>
      </c>
      <c r="F9" s="30" t="s">
        <v>165</v>
      </c>
      <c r="G9" s="30" t="s">
        <v>159</v>
      </c>
      <c r="H9" s="30" t="s">
        <v>11</v>
      </c>
      <c r="I9" s="30" t="s">
        <v>171</v>
      </c>
      <c r="J9" s="30" t="s">
        <v>172</v>
      </c>
    </row>
    <row r="10" spans="1:20" ht="75" x14ac:dyDescent="0.25">
      <c r="A10" s="153">
        <v>2</v>
      </c>
      <c r="B10" s="146">
        <v>7</v>
      </c>
      <c r="C10" s="147" t="s">
        <v>155</v>
      </c>
      <c r="D10" s="280">
        <v>26077</v>
      </c>
      <c r="E10" s="146" t="s">
        <v>153</v>
      </c>
      <c r="F10" s="146" t="s">
        <v>157</v>
      </c>
      <c r="G10" s="146" t="s">
        <v>160</v>
      </c>
      <c r="H10" s="148">
        <v>1300</v>
      </c>
      <c r="I10" s="149">
        <f>134.92</f>
        <v>134.91999999999999</v>
      </c>
      <c r="J10" s="149">
        <f>I10*H10*36</f>
        <v>6314255.9999999991</v>
      </c>
      <c r="P10" s="27"/>
      <c r="Q10" s="28"/>
      <c r="R10" s="27"/>
      <c r="S10" s="27"/>
      <c r="T10" s="27"/>
    </row>
    <row r="11" spans="1:20" ht="75" x14ac:dyDescent="0.25">
      <c r="A11" s="153">
        <v>2</v>
      </c>
      <c r="B11" s="146">
        <v>8</v>
      </c>
      <c r="C11" s="147" t="s">
        <v>156</v>
      </c>
      <c r="D11" s="281"/>
      <c r="E11" s="146" t="s">
        <v>154</v>
      </c>
      <c r="F11" s="146" t="s">
        <v>158</v>
      </c>
      <c r="G11" s="146" t="s">
        <v>160</v>
      </c>
      <c r="H11" s="148">
        <v>30</v>
      </c>
      <c r="I11" s="149">
        <f>205.39</f>
        <v>205.39</v>
      </c>
      <c r="J11" s="149">
        <f>I11*H11*36</f>
        <v>221821.19999999998</v>
      </c>
    </row>
    <row r="12" spans="1:20" ht="15.75" x14ac:dyDescent="0.25">
      <c r="A12" s="29"/>
      <c r="B12" s="29"/>
      <c r="C12" s="29"/>
      <c r="D12" s="29"/>
      <c r="E12" s="29"/>
      <c r="F12" s="29"/>
      <c r="G12" s="29"/>
      <c r="H12" s="29"/>
      <c r="I12" s="29"/>
    </row>
    <row r="13" spans="1:20" ht="15.75" x14ac:dyDescent="0.25">
      <c r="A13" s="88" t="s">
        <v>62</v>
      </c>
      <c r="B13" s="10"/>
      <c r="C13" s="10"/>
      <c r="D13" s="10"/>
      <c r="E13" s="10"/>
      <c r="F13" s="10"/>
      <c r="G13" s="11"/>
      <c r="H13" s="11"/>
      <c r="I13" s="11"/>
      <c r="J13" s="11"/>
      <c r="K13" s="11"/>
    </row>
    <row r="14" spans="1:20" ht="15.75" x14ac:dyDescent="0.25">
      <c r="A14" s="12"/>
      <c r="B14" s="10"/>
      <c r="C14" s="10"/>
      <c r="D14" s="10"/>
      <c r="E14" s="10"/>
      <c r="F14" s="10"/>
      <c r="G14" s="11"/>
      <c r="H14" s="11"/>
      <c r="I14" s="11"/>
      <c r="J14" s="11"/>
      <c r="K14" s="11"/>
    </row>
    <row r="15" spans="1:20" ht="15.75" x14ac:dyDescent="0.25">
      <c r="A15" s="36" t="s">
        <v>161</v>
      </c>
      <c r="B15" s="10"/>
      <c r="C15" s="10"/>
      <c r="D15" s="10"/>
      <c r="E15" s="10"/>
      <c r="F15" s="10"/>
      <c r="G15" s="11"/>
      <c r="H15" s="11"/>
      <c r="I15" s="11"/>
      <c r="J15" s="11"/>
      <c r="K15" s="11"/>
    </row>
    <row r="16" spans="1:20" x14ac:dyDescent="0.25">
      <c r="A16"/>
      <c r="B16" s="150"/>
      <c r="D16"/>
      <c r="E16"/>
      <c r="F16"/>
      <c r="G16"/>
      <c r="H16"/>
      <c r="I16"/>
    </row>
    <row r="17" spans="1:13" ht="14.45" customHeight="1" x14ac:dyDescent="0.25">
      <c r="A17" s="247" t="s">
        <v>162</v>
      </c>
      <c r="B17" s="247"/>
      <c r="C17" s="247"/>
      <c r="D17" s="247"/>
      <c r="E17" s="247"/>
      <c r="F17" s="247"/>
      <c r="G17" s="247"/>
      <c r="H17" s="247"/>
      <c r="I17" s="247"/>
      <c r="J17" s="247"/>
      <c r="K17" s="247"/>
      <c r="L17" s="247"/>
      <c r="M17" s="247"/>
    </row>
    <row r="18" spans="1:13" ht="14.45" customHeight="1" x14ac:dyDescent="0.25">
      <c r="A18" s="247"/>
      <c r="B18" s="247"/>
      <c r="C18" s="247"/>
      <c r="D18" s="247"/>
      <c r="E18" s="247"/>
      <c r="F18" s="247"/>
      <c r="G18" s="247"/>
      <c r="H18" s="247"/>
      <c r="I18" s="247"/>
      <c r="J18" s="247"/>
      <c r="K18" s="247"/>
      <c r="L18" s="247"/>
      <c r="M18" s="247"/>
    </row>
  </sheetData>
  <mergeCells count="4">
    <mergeCell ref="A17:M18"/>
    <mergeCell ref="B4:J7"/>
    <mergeCell ref="A1:J1"/>
    <mergeCell ref="D10:D1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U20"/>
  <sheetViews>
    <sheetView topLeftCell="A4" workbookViewId="0">
      <selection activeCell="B4" sqref="B4:K7"/>
    </sheetView>
  </sheetViews>
  <sheetFormatPr defaultRowHeight="15" x14ac:dyDescent="0.25"/>
  <cols>
    <col min="1" max="1" width="4.7109375" style="16" customWidth="1"/>
    <col min="2" max="2" width="24.85546875" customWidth="1"/>
    <col min="3" max="3" width="6" style="105" bestFit="1" customWidth="1"/>
    <col min="4" max="4" width="8.42578125" style="105" bestFit="1" customWidth="1"/>
    <col min="5" max="5" width="12.85546875" style="105" bestFit="1" customWidth="1"/>
    <col min="6" max="6" width="25.7109375" style="105" customWidth="1"/>
    <col min="7" max="7" width="8.28515625" style="105" bestFit="1" customWidth="1"/>
    <col min="8" max="9" width="6.7109375" style="105" bestFit="1" customWidth="1"/>
    <col min="10" max="10" width="12.7109375" style="105" bestFit="1" customWidth="1"/>
    <col min="11" max="11" width="12.7109375" bestFit="1" customWidth="1"/>
    <col min="18" max="18" width="54.42578125" customWidth="1"/>
  </cols>
  <sheetData>
    <row r="1" spans="1:21" ht="18" thickBot="1" x14ac:dyDescent="0.35">
      <c r="A1" s="241" t="s">
        <v>0</v>
      </c>
      <c r="B1" s="242"/>
      <c r="C1" s="242"/>
      <c r="D1" s="242"/>
      <c r="E1" s="242"/>
      <c r="F1" s="242"/>
      <c r="G1" s="242"/>
      <c r="H1" s="242"/>
      <c r="I1" s="242"/>
      <c r="J1" s="242"/>
      <c r="K1" s="243"/>
      <c r="L1" s="6"/>
      <c r="M1" s="6"/>
      <c r="N1" s="6"/>
      <c r="O1" s="6"/>
      <c r="P1" s="6"/>
      <c r="Q1" s="6"/>
      <c r="R1" s="6"/>
    </row>
    <row r="2" spans="1:21" ht="17.2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1"/>
      <c r="P2" s="5"/>
      <c r="Q2" s="5"/>
    </row>
    <row r="3" spans="1:21" ht="17.25" x14ac:dyDescent="0.3">
      <c r="A3" s="6" t="s">
        <v>149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1"/>
      <c r="P3" s="5"/>
      <c r="Q3" s="5"/>
    </row>
    <row r="4" spans="1:21" ht="17.25" x14ac:dyDescent="0.3">
      <c r="A4" s="6" t="s">
        <v>1</v>
      </c>
      <c r="B4" s="240" t="s">
        <v>2</v>
      </c>
      <c r="C4" s="240"/>
      <c r="D4" s="240"/>
      <c r="E4" s="240"/>
      <c r="F4" s="240"/>
      <c r="G4" s="240"/>
      <c r="H4" s="240"/>
      <c r="I4" s="240"/>
      <c r="J4" s="240"/>
      <c r="K4" s="240"/>
      <c r="L4" s="14"/>
      <c r="M4" s="14"/>
      <c r="N4" s="14"/>
      <c r="O4" s="14"/>
      <c r="P4" s="14"/>
      <c r="Q4" s="14"/>
      <c r="R4" s="14"/>
    </row>
    <row r="5" spans="1:21" ht="17.25" x14ac:dyDescent="0.3">
      <c r="A5" s="6"/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14"/>
      <c r="M5" s="14"/>
      <c r="N5" s="14"/>
      <c r="O5" s="14"/>
      <c r="P5" s="14"/>
      <c r="Q5" s="14"/>
      <c r="R5" s="14"/>
    </row>
    <row r="6" spans="1:21" ht="17.25" x14ac:dyDescent="0.3">
      <c r="A6" s="5"/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14"/>
      <c r="M6" s="14"/>
      <c r="N6" s="14"/>
      <c r="O6" s="14"/>
      <c r="P6" s="14"/>
      <c r="Q6" s="14"/>
      <c r="R6" s="14"/>
    </row>
    <row r="7" spans="1:21" ht="17.25" x14ac:dyDescent="0.3">
      <c r="A7" s="5"/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165"/>
      <c r="M7" s="165"/>
      <c r="N7" s="165"/>
      <c r="O7" s="165"/>
      <c r="P7" s="165"/>
    </row>
    <row r="8" spans="1:21" ht="17.25" x14ac:dyDescent="0.3">
      <c r="A8" s="5"/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</row>
    <row r="9" spans="1:21" ht="17.25" x14ac:dyDescent="0.3">
      <c r="A9" s="178" t="s">
        <v>185</v>
      </c>
      <c r="B9" s="179"/>
      <c r="C9" s="179"/>
      <c r="D9" s="179"/>
      <c r="E9" s="179"/>
      <c r="F9" s="179"/>
      <c r="G9" s="179"/>
      <c r="H9" s="179"/>
      <c r="I9" s="179"/>
      <c r="J9" s="179"/>
      <c r="K9" s="180"/>
      <c r="L9" s="165"/>
      <c r="M9" s="165"/>
      <c r="N9" s="165"/>
      <c r="O9" s="165"/>
      <c r="P9" s="165"/>
    </row>
    <row r="10" spans="1:21" ht="60" x14ac:dyDescent="0.25">
      <c r="A10" s="30" t="s">
        <v>3</v>
      </c>
      <c r="B10" s="30" t="s">
        <v>4</v>
      </c>
      <c r="C10" s="30" t="s">
        <v>6</v>
      </c>
      <c r="D10" s="30" t="s">
        <v>7</v>
      </c>
      <c r="E10" s="30" t="s">
        <v>8</v>
      </c>
      <c r="F10" s="30" t="s">
        <v>9</v>
      </c>
      <c r="G10" s="30" t="s">
        <v>186</v>
      </c>
      <c r="H10" s="30" t="s">
        <v>11</v>
      </c>
      <c r="I10" s="30" t="s">
        <v>187</v>
      </c>
      <c r="J10" s="30" t="s">
        <v>146</v>
      </c>
      <c r="K10" s="30" t="s">
        <v>147</v>
      </c>
    </row>
    <row r="11" spans="1:21" ht="60" x14ac:dyDescent="0.25">
      <c r="A11" s="168">
        <v>1</v>
      </c>
      <c r="B11" s="172" t="s">
        <v>126</v>
      </c>
      <c r="C11" s="168" t="s">
        <v>129</v>
      </c>
      <c r="D11" s="168" t="s">
        <v>140</v>
      </c>
      <c r="E11" s="168" t="s">
        <v>40</v>
      </c>
      <c r="F11" s="177" t="s">
        <v>127</v>
      </c>
      <c r="G11" s="168" t="s">
        <v>28</v>
      </c>
      <c r="H11" s="174">
        <f>'Mapa Comparativo'!G18</f>
        <v>1300</v>
      </c>
      <c r="I11" s="175">
        <v>36</v>
      </c>
      <c r="J11" s="176">
        <f>'Mapa Comparativo'!M18</f>
        <v>1463904</v>
      </c>
      <c r="K11" s="176">
        <f>'Mapa Comparativo'!N18</f>
        <v>4391712</v>
      </c>
      <c r="Q11" s="27"/>
      <c r="R11" s="28"/>
      <c r="S11" s="27"/>
      <c r="T11" s="27"/>
      <c r="U11" s="27"/>
    </row>
    <row r="12" spans="1:21" ht="60" x14ac:dyDescent="0.25">
      <c r="A12" s="168">
        <v>2</v>
      </c>
      <c r="B12" s="172" t="s">
        <v>138</v>
      </c>
      <c r="C12" s="168" t="s">
        <v>131</v>
      </c>
      <c r="D12" s="168" t="s">
        <v>139</v>
      </c>
      <c r="E12" s="168" t="s">
        <v>40</v>
      </c>
      <c r="F12" s="177" t="s">
        <v>128</v>
      </c>
      <c r="G12" s="168" t="s">
        <v>28</v>
      </c>
      <c r="H12" s="174">
        <f>'Mapa Comparativo'!G21</f>
        <v>30</v>
      </c>
      <c r="I12" s="175">
        <v>36</v>
      </c>
      <c r="J12" s="176">
        <f>'Mapa Comparativo'!M21</f>
        <v>59151.6</v>
      </c>
      <c r="K12" s="176">
        <f>'Mapa Comparativo'!N21</f>
        <v>177454.8</v>
      </c>
    </row>
    <row r="13" spans="1:21" ht="60" x14ac:dyDescent="0.25">
      <c r="A13" s="168">
        <v>3</v>
      </c>
      <c r="B13" s="172" t="s">
        <v>125</v>
      </c>
      <c r="C13" s="168" t="s">
        <v>132</v>
      </c>
      <c r="D13" s="168" t="s">
        <v>141</v>
      </c>
      <c r="E13" s="168" t="s">
        <v>40</v>
      </c>
      <c r="F13" s="177" t="s">
        <v>130</v>
      </c>
      <c r="G13" s="168" t="s">
        <v>28</v>
      </c>
      <c r="H13" s="174">
        <f>'Mapa Comparativo'!G19+ 'Mapa Comparativo'!G22</f>
        <v>1330</v>
      </c>
      <c r="I13" s="175">
        <v>36</v>
      </c>
      <c r="J13" s="176">
        <f>'Mapa Comparativo'!M19+'Mapa Comparativo'!M22</f>
        <v>655636.79999999993</v>
      </c>
      <c r="K13" s="176">
        <f>'Mapa Comparativo'!N19+'Mapa Comparativo'!N22</f>
        <v>1966910.3999999997</v>
      </c>
    </row>
    <row r="14" spans="1:21" ht="15.75" x14ac:dyDescent="0.25">
      <c r="A14" s="144"/>
      <c r="B14" s="145"/>
      <c r="C14" s="145"/>
      <c r="D14" s="145"/>
      <c r="E14" s="145"/>
      <c r="F14" s="145"/>
      <c r="G14" s="145"/>
      <c r="H14" s="282" t="s">
        <v>148</v>
      </c>
      <c r="I14" s="283"/>
      <c r="J14" s="143">
        <f>SUM(J11:J13)</f>
        <v>2178692.4</v>
      </c>
      <c r="K14" s="143">
        <f>SUM(K11:K13)</f>
        <v>6536077.1999999993</v>
      </c>
    </row>
    <row r="15" spans="1:21" ht="15.75" x14ac:dyDescent="0.25">
      <c r="A15" s="88" t="s">
        <v>62</v>
      </c>
      <c r="B15" s="10"/>
      <c r="C15" s="10"/>
      <c r="D15" s="10"/>
      <c r="E15" s="10"/>
      <c r="F15" s="11"/>
      <c r="G15"/>
      <c r="H15"/>
      <c r="I15"/>
      <c r="J15"/>
    </row>
    <row r="16" spans="1:21" ht="15.75" x14ac:dyDescent="0.25">
      <c r="A16" s="12"/>
      <c r="B16" s="10"/>
      <c r="C16" s="10"/>
      <c r="D16" s="10"/>
      <c r="E16" s="10"/>
      <c r="F16" s="11"/>
      <c r="G16" s="11"/>
      <c r="H16" s="11"/>
      <c r="I16" s="11"/>
      <c r="J16" s="11"/>
    </row>
    <row r="17" spans="1:10" ht="15.75" x14ac:dyDescent="0.25">
      <c r="A17" s="36" t="s">
        <v>166</v>
      </c>
      <c r="B17" s="10"/>
      <c r="C17" s="10"/>
      <c r="D17" s="10"/>
      <c r="E17" s="10"/>
      <c r="F17" s="11"/>
      <c r="G17" s="11"/>
      <c r="H17" s="11"/>
      <c r="I17" s="11"/>
      <c r="J17" s="11"/>
    </row>
    <row r="18" spans="1:10" x14ac:dyDescent="0.25">
      <c r="A18"/>
      <c r="B18" s="150"/>
      <c r="C18"/>
      <c r="D18"/>
      <c r="E18"/>
      <c r="F18"/>
      <c r="G18"/>
      <c r="H18"/>
      <c r="I18"/>
      <c r="J18"/>
    </row>
    <row r="19" spans="1:10" x14ac:dyDescent="0.25">
      <c r="A19" s="247" t="s">
        <v>167</v>
      </c>
      <c r="B19" s="247"/>
      <c r="C19" s="247"/>
      <c r="D19" s="247"/>
      <c r="E19" s="247"/>
      <c r="F19" s="247"/>
      <c r="G19" s="247"/>
      <c r="H19" s="247"/>
      <c r="I19" s="247"/>
      <c r="J19" s="247"/>
    </row>
    <row r="20" spans="1:10" x14ac:dyDescent="0.25">
      <c r="A20" s="247"/>
      <c r="B20" s="247"/>
      <c r="C20" s="247"/>
      <c r="D20" s="247"/>
      <c r="E20" s="247"/>
      <c r="F20" s="247"/>
      <c r="G20" s="247"/>
      <c r="H20" s="247"/>
      <c r="I20" s="247"/>
      <c r="J20" s="247"/>
    </row>
  </sheetData>
  <mergeCells count="4">
    <mergeCell ref="A1:K1"/>
    <mergeCell ref="B4:K7"/>
    <mergeCell ref="H14:I14"/>
    <mergeCell ref="A19:J20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13</vt:i4>
      </vt:variant>
    </vt:vector>
  </HeadingPairs>
  <TitlesOfParts>
    <vt:vector size="13" baseType="lpstr">
      <vt:lpstr>Descr&amp;Quant</vt:lpstr>
      <vt:lpstr>Catálogo SGD</vt:lpstr>
      <vt:lpstr>Mapa Comparativo (2)</vt:lpstr>
      <vt:lpstr>Mapa Comparativo</vt:lpstr>
      <vt:lpstr>Quadro-resumo licenças</vt:lpstr>
      <vt:lpstr>PMC-TIC x Preços Públicos</vt:lpstr>
      <vt:lpstr>PMC-TIC x Fornecedores</vt:lpstr>
      <vt:lpstr>Quadro-resumo IRP SGD</vt:lpstr>
      <vt:lpstr>Quadro-resumo - LOTE 1</vt:lpstr>
      <vt:lpstr>Quadro-resumo - LOTE 2</vt:lpstr>
      <vt:lpstr>Quadro-resumo - LOTE 1 (2)</vt:lpstr>
      <vt:lpstr>Quadro-resumo - LOTE 2 (2)</vt:lpstr>
      <vt:lpstr>Custo TT Estim.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Nubia</dc:creator>
  <cp:keywords/>
  <dc:description/>
  <cp:lastModifiedBy>Administrador</cp:lastModifiedBy>
  <cp:revision/>
  <dcterms:created xsi:type="dcterms:W3CDTF">2020-07-31T14:32:41Z</dcterms:created>
  <dcterms:modified xsi:type="dcterms:W3CDTF">2022-07-17T21:11:34Z</dcterms:modified>
  <cp:category/>
  <cp:contentStatus/>
</cp:coreProperties>
</file>